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560_DATA_OFFICE\Internet\- ASSETS\Barèmes\Chomage\"/>
    </mc:Choice>
  </mc:AlternateContent>
  <xr:revisionPtr revIDLastSave="0" documentId="8_{062A69A9-3C7C-40A9-839E-2EC31F3DFC13}" xr6:coauthVersionLast="47" xr6:coauthVersionMax="47" xr10:uidLastSave="{00000000-0000-0000-0000-000000000000}"/>
  <workbookProtection workbookAlgorithmName="SHA-512" workbookHashValue="IA9arNeLLrM5HwxEdDjPYJb0tINZabN5C8ewCKJHc4L6yIDrqaoCfZVjorbyLHWvqjQg/PmdI3lpn4oO9EVVjg==" workbookSaltValue="utaDU0hb8qNnpnL0KkJ34Q==" workbookSpinCount="100000" lockStructure="1"/>
  <bookViews>
    <workbookView xWindow="-108" yWindow="-108" windowWidth="23256" windowHeight="12456" tabRatio="776" xr2:uid="{00000000-000D-0000-FFFF-FFFF00000000}"/>
  </bookViews>
  <sheets>
    <sheet name="A" sheetId="1" r:id="rId1"/>
    <sheet name="N" sheetId="3" r:id="rId2"/>
    <sheet name="B" sheetId="4" r:id="rId3"/>
    <sheet name="B+" sheetId="5" r:id="rId4"/>
    <sheet name="Ahalf_Ademi" sheetId="6" r:id="rId5"/>
    <sheet name="Nhalf_Ndemi" sheetId="7" r:id="rId6"/>
    <sheet name="Bhalf_Bdemi" sheetId="9" r:id="rId7"/>
    <sheet name="B+half_B+demi" sheetId="18" r:id="rId8"/>
    <sheet name="OverzichtVW_ApercuCC" sheetId="19" r:id="rId9"/>
    <sheet name="TW-CT_JS" sheetId="11" r:id="rId10"/>
    <sheet name="SpecCat" sheetId="10" r:id="rId11"/>
    <sheet name="Loonschijven_Tranches salariale" sheetId="2" r:id="rId12"/>
    <sheet name="Uurlonen_Salaires horaires" sheetId="12" r:id="rId13"/>
    <sheet name="W " sheetId="13" r:id="rId14"/>
    <sheet name="AndereBedrWLH_AutresMontCHOM" sheetId="17" r:id="rId15"/>
    <sheet name="Activering_Activation" sheetId="20" r:id="rId16"/>
    <sheet name="AndereUitk_AutresAlloc" sheetId="14" r:id="rId17"/>
    <sheet name="Bonus" sheetId="15" r:id="rId18"/>
    <sheet name="Basisbedragen" sheetId="22" state="hidden" r:id="rId19"/>
  </sheets>
  <definedNames>
    <definedName name="_xlnm.Print_Area" localSheetId="14">AndereBedrWLH_AutresMontCHOM!$A$1:$R$98</definedName>
    <definedName name="_xlnm.Print_Area" localSheetId="16">AndereUitk_AutresAlloc!$A$1:$P$23</definedName>
    <definedName name="_xlnm.Print_Area" localSheetId="2">B!$A$1:$Y$87</definedName>
    <definedName name="_xlnm.Print_Area" localSheetId="3">'B+'!$A$1:$X$88</definedName>
    <definedName name="_xlnm.Print_Area" localSheetId="7">'B+half_B+demi'!$A$1:$V$88</definedName>
    <definedName name="_xlnm.Print_Area" localSheetId="6">Bhalf_Bdemi!$A$1:$W$87</definedName>
    <definedName name="_xlnm.Print_Area" localSheetId="11">'Loonschijven_Tranches salariale'!$A$1:$K$58</definedName>
    <definedName name="_xlnm.Print_Area" localSheetId="5">Nhalf_Ndemi!$A$1:$V$86</definedName>
    <definedName name="_xlnm.Print_Area" localSheetId="9">'TW-CT_JS'!$A$1:$X$85</definedName>
    <definedName name="_xlnm.Print_Area" localSheetId="13">'W '!$A$1:$T$50</definedName>
    <definedName name="_xlnm.Print_Titles" localSheetId="0">A!$A:$A,A!$1:$8</definedName>
    <definedName name="_xlnm.Print_Titles" localSheetId="4">Ahalf_Ademi!$A:$A,Ahalf_Ademi!$1:$8</definedName>
    <definedName name="_xlnm.Print_Titles" localSheetId="14">AndereBedrWLH_AutresMontCHOM!$1:$4</definedName>
    <definedName name="_xlnm.Print_Titles" localSheetId="16">AndereUitk_AutresAlloc!$1:$4</definedName>
    <definedName name="_xlnm.Print_Titles" localSheetId="2">B!$A:$A,B!$1:$8</definedName>
    <definedName name="_xlnm.Print_Titles" localSheetId="3">'B+'!$A:$A,'B+'!$1:$9</definedName>
    <definedName name="_xlnm.Print_Titles" localSheetId="7">'B+half_B+demi'!$A:$A,'B+half_B+demi'!$1:$9</definedName>
    <definedName name="_xlnm.Print_Titles" localSheetId="6">Bhalf_Bdemi!$A:$A,Bhalf_Bdemi!$1:$8</definedName>
    <definedName name="_xlnm.Print_Titles" localSheetId="1">N!$A:$A,N!$1:$8</definedName>
    <definedName name="_xlnm.Print_Titles" localSheetId="5">Nhalf_Ndemi!$A:$A,Nhalf_Ndemi!$1:$8</definedName>
    <definedName name="_xlnm.Print_Titles" localSheetId="8">OverzichtVW_ApercuCC!$1:$3</definedName>
    <definedName name="_xlnm.Print_Titles" localSheetId="10">SpecCat!$A:$A,SpecCat!$1:$8</definedName>
    <definedName name="_xlnm.Print_Titles" localSheetId="9">'TW-CT_JS'!$A:$A,'TW-CT_JS'!$1:$7</definedName>
    <definedName name="_xlnm.Print_Titles" localSheetId="12">'Uurlonen_Salaires horaires'!$1:$7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2" l="1"/>
  <c r="H4" i="22" s="1"/>
  <c r="E13" i="15" s="1"/>
  <c r="F3" i="22" l="1"/>
  <c r="H6" i="22" l="1"/>
  <c r="P15" i="17" l="1"/>
  <c r="C58" i="12" l="1"/>
  <c r="A87" i="7"/>
  <c r="A87" i="6"/>
  <c r="E59" i="2"/>
  <c r="H5" i="22" l="1"/>
  <c r="H3" i="22"/>
  <c r="O8" i="17" s="1"/>
  <c r="H2" i="22"/>
  <c r="G21" i="15" l="1"/>
  <c r="G11" i="15"/>
  <c r="N12" i="17"/>
  <c r="E12" i="15"/>
  <c r="G13" i="15"/>
  <c r="C11" i="15"/>
  <c r="N18" i="17"/>
  <c r="P18" i="17"/>
  <c r="E23" i="15"/>
  <c r="C57" i="12"/>
  <c r="E22" i="15" l="1"/>
  <c r="C13" i="15"/>
  <c r="I13" i="15" s="1"/>
  <c r="E58" i="2"/>
  <c r="C23" i="15" l="1"/>
  <c r="I23" i="15" s="1"/>
  <c r="K13" i="15"/>
  <c r="K23" i="15" s="1"/>
  <c r="P37" i="13"/>
  <c r="R6" i="13" l="1"/>
  <c r="P6" i="13"/>
  <c r="R1" i="13" l="1"/>
  <c r="P22" i="13" l="1"/>
  <c r="P19" i="13"/>
  <c r="P10" i="13"/>
  <c r="P16" i="13"/>
  <c r="P9" i="13"/>
  <c r="P18" i="13"/>
  <c r="P15" i="13"/>
  <c r="P21" i="13"/>
  <c r="O41" i="17" s="1"/>
  <c r="R21" i="13" l="1"/>
  <c r="P48" i="13"/>
  <c r="P34" i="13"/>
  <c r="R34" i="13" s="1"/>
  <c r="P45" i="13"/>
  <c r="R16" i="13"/>
  <c r="P29" i="13"/>
  <c r="R29" i="13" s="1"/>
  <c r="P44" i="13"/>
  <c r="P28" i="13"/>
  <c r="R28" i="13" s="1"/>
  <c r="R15" i="13"/>
  <c r="P40" i="13"/>
  <c r="R10" i="13"/>
  <c r="P25" i="13"/>
  <c r="R25" i="13" s="1"/>
  <c r="P12" i="13"/>
  <c r="R18" i="13"/>
  <c r="P46" i="13"/>
  <c r="P31" i="13"/>
  <c r="R31" i="13" s="1"/>
  <c r="R19" i="13"/>
  <c r="P47" i="13"/>
  <c r="P32" i="13"/>
  <c r="R32" i="13" s="1"/>
  <c r="P39" i="13"/>
  <c r="P11" i="13"/>
  <c r="R9" i="13"/>
  <c r="P49" i="13"/>
  <c r="R22" i="13"/>
  <c r="P35" i="13"/>
  <c r="R35" i="13" s="1"/>
  <c r="N1" i="15"/>
  <c r="M1" i="14"/>
  <c r="P1" i="17"/>
  <c r="L1" i="12"/>
  <c r="K1" i="2"/>
  <c r="Y1" i="10"/>
  <c r="X1" i="11"/>
  <c r="K1" i="19"/>
  <c r="V1" i="18"/>
  <c r="W1" i="9"/>
  <c r="V1" i="7"/>
  <c r="U1" i="6"/>
  <c r="X1" i="5"/>
  <c r="Y1" i="4"/>
  <c r="X1" i="3"/>
  <c r="W1" i="1"/>
  <c r="N98" i="17" l="1"/>
  <c r="O64" i="17"/>
  <c r="O42" i="17"/>
  <c r="P92" i="17"/>
  <c r="O63" i="17"/>
  <c r="O90" i="17"/>
  <c r="O62" i="17"/>
  <c r="O40" i="17"/>
  <c r="L84" i="17"/>
  <c r="N51" i="17"/>
  <c r="O80" i="17"/>
  <c r="N34" i="17"/>
  <c r="N49" i="17"/>
  <c r="N33" i="17"/>
  <c r="P20" i="17"/>
  <c r="O57" i="17"/>
  <c r="O39" i="17"/>
  <c r="N55" i="17"/>
  <c r="O38" i="17"/>
  <c r="O81" i="17"/>
  <c r="O37" i="17"/>
  <c r="N50" i="17"/>
  <c r="O79" i="17"/>
  <c r="O43" i="17"/>
  <c r="N48" i="17"/>
  <c r="P30" i="17"/>
  <c r="N47" i="17"/>
  <c r="P29" i="17"/>
  <c r="N68" i="17"/>
  <c r="N46" i="17"/>
  <c r="P28" i="17"/>
  <c r="O66" i="17"/>
  <c r="D7" i="11"/>
  <c r="E8" i="10" s="1"/>
  <c r="D9" i="11"/>
  <c r="C7" i="11"/>
  <c r="M7" i="11" s="1"/>
  <c r="B58" i="2"/>
  <c r="F57" i="12" s="1"/>
  <c r="B59" i="2"/>
  <c r="N8" i="10"/>
  <c r="N32" i="10" s="1"/>
  <c r="AB32" i="10" s="1"/>
  <c r="M8" i="10"/>
  <c r="M83" i="10" s="1"/>
  <c r="AA83" i="10" s="1"/>
  <c r="M37" i="10"/>
  <c r="AA37" i="10" s="1"/>
  <c r="N96" i="17"/>
  <c r="P41" i="13"/>
  <c r="R11" i="13"/>
  <c r="P42" i="13"/>
  <c r="R12" i="13"/>
  <c r="B7" i="11"/>
  <c r="I8" i="10"/>
  <c r="I71" i="10" s="1"/>
  <c r="W71" i="10" s="1"/>
  <c r="K8" i="10"/>
  <c r="K71" i="10" s="1"/>
  <c r="Y71" i="10" s="1"/>
  <c r="J8" i="10"/>
  <c r="J71" i="10" s="1"/>
  <c r="X71" i="10" s="1"/>
  <c r="B7" i="2"/>
  <c r="G57" i="12" l="1"/>
  <c r="D11" i="11"/>
  <c r="D10" i="11"/>
  <c r="D31" i="11"/>
  <c r="D19" i="11"/>
  <c r="D55" i="11"/>
  <c r="D43" i="11"/>
  <c r="D24" i="11"/>
  <c r="D83" i="11"/>
  <c r="D47" i="11"/>
  <c r="D23" i="11"/>
  <c r="D22" i="11"/>
  <c r="D8" i="11"/>
  <c r="D69" i="11"/>
  <c r="D75" i="11"/>
  <c r="D45" i="11"/>
  <c r="D63" i="11"/>
  <c r="D33" i="11"/>
  <c r="D51" i="11"/>
  <c r="D18" i="11"/>
  <c r="D68" i="11"/>
  <c r="D60" i="11"/>
  <c r="D56" i="11"/>
  <c r="D65" i="11"/>
  <c r="D46" i="11"/>
  <c r="D38" i="11"/>
  <c r="D70" i="11"/>
  <c r="D36" i="11"/>
  <c r="D44" i="11"/>
  <c r="D53" i="11"/>
  <c r="D34" i="11"/>
  <c r="D26" i="11"/>
  <c r="D82" i="11"/>
  <c r="D77" i="11"/>
  <c r="D71" i="11"/>
  <c r="D32" i="11"/>
  <c r="D41" i="11"/>
  <c r="D64" i="11"/>
  <c r="D85" i="11"/>
  <c r="D62" i="11"/>
  <c r="D50" i="11"/>
  <c r="D59" i="11"/>
  <c r="D20" i="11"/>
  <c r="D29" i="11"/>
  <c r="D52" i="11"/>
  <c r="D73" i="11"/>
  <c r="D80" i="11"/>
  <c r="D84" i="11"/>
  <c r="D35" i="11"/>
  <c r="D79" i="11"/>
  <c r="D17" i="11"/>
  <c r="D40" i="11"/>
  <c r="D61" i="11"/>
  <c r="D30" i="11"/>
  <c r="D58" i="11"/>
  <c r="D67" i="11"/>
  <c r="D16" i="11"/>
  <c r="D28" i="11"/>
  <c r="D49" i="11"/>
  <c r="K57" i="12"/>
  <c r="D78" i="11"/>
  <c r="D15" i="11"/>
  <c r="D81" i="11"/>
  <c r="D39" i="11"/>
  <c r="D37" i="11"/>
  <c r="D66" i="11"/>
  <c r="D14" i="11"/>
  <c r="D57" i="11"/>
  <c r="D27" i="11"/>
  <c r="D25" i="11"/>
  <c r="D54" i="11"/>
  <c r="D72" i="11"/>
  <c r="D21" i="11"/>
  <c r="D86" i="11"/>
  <c r="D13" i="11"/>
  <c r="D42" i="11"/>
  <c r="D48" i="11"/>
  <c r="D76" i="11"/>
  <c r="D74" i="11"/>
  <c r="D12" i="11"/>
  <c r="N47" i="10"/>
  <c r="AB47" i="10" s="1"/>
  <c r="I57" i="12"/>
  <c r="N66" i="10"/>
  <c r="AB66" i="10" s="1"/>
  <c r="E57" i="12"/>
  <c r="N50" i="10"/>
  <c r="AB50" i="10" s="1"/>
  <c r="N31" i="10"/>
  <c r="AB31" i="10" s="1"/>
  <c r="N45" i="10"/>
  <c r="AB45" i="10" s="1"/>
  <c r="N17" i="10"/>
  <c r="AB17" i="10" s="1"/>
  <c r="N83" i="10"/>
  <c r="AB83" i="10" s="1"/>
  <c r="N71" i="10"/>
  <c r="AB71" i="10" s="1"/>
  <c r="L57" i="12"/>
  <c r="N65" i="10"/>
  <c r="AB65" i="10" s="1"/>
  <c r="H57" i="12"/>
  <c r="N26" i="10"/>
  <c r="AB26" i="10" s="1"/>
  <c r="D57" i="12"/>
  <c r="B86" i="11"/>
  <c r="F86" i="11" s="1"/>
  <c r="P86" i="11" s="1"/>
  <c r="F7" i="11"/>
  <c r="P7" i="11" s="1"/>
  <c r="H7" i="11"/>
  <c r="N7" i="11"/>
  <c r="C57" i="2"/>
  <c r="N55" i="10"/>
  <c r="AB55" i="10" s="1"/>
  <c r="M57" i="12"/>
  <c r="N10" i="10"/>
  <c r="AB10" i="10" s="1"/>
  <c r="C8" i="11"/>
  <c r="M8" i="11" s="1"/>
  <c r="M49" i="10"/>
  <c r="AA49" i="10" s="1"/>
  <c r="N57" i="10"/>
  <c r="AB57" i="10" s="1"/>
  <c r="N9" i="10"/>
  <c r="AB9" i="10" s="1"/>
  <c r="N38" i="10"/>
  <c r="AB38" i="10" s="1"/>
  <c r="M87" i="10"/>
  <c r="AA87" i="10" s="1"/>
  <c r="N11" i="10"/>
  <c r="AB11" i="10" s="1"/>
  <c r="N19" i="10"/>
  <c r="AB19" i="10" s="1"/>
  <c r="N30" i="10"/>
  <c r="AB30" i="10" s="1"/>
  <c r="M14" i="10"/>
  <c r="AA14" i="10" s="1"/>
  <c r="M34" i="10"/>
  <c r="AA34" i="10" s="1"/>
  <c r="N36" i="10"/>
  <c r="AB36" i="10" s="1"/>
  <c r="L58" i="12"/>
  <c r="M58" i="12"/>
  <c r="N58" i="12"/>
  <c r="D58" i="12"/>
  <c r="E58" i="12"/>
  <c r="F58" i="12"/>
  <c r="G58" i="12"/>
  <c r="H58" i="12"/>
  <c r="C58" i="2"/>
  <c r="I58" i="12"/>
  <c r="J58" i="12"/>
  <c r="K58" i="12"/>
  <c r="M46" i="10"/>
  <c r="AA46" i="10" s="1"/>
  <c r="M15" i="10"/>
  <c r="AA15" i="10" s="1"/>
  <c r="N28" i="10"/>
  <c r="AB28" i="10" s="1"/>
  <c r="N57" i="12"/>
  <c r="M27" i="10"/>
  <c r="AA27" i="10" s="1"/>
  <c r="N37" i="10"/>
  <c r="AB37" i="10" s="1"/>
  <c r="N84" i="10"/>
  <c r="AB84" i="10" s="1"/>
  <c r="J57" i="12"/>
  <c r="M61" i="10"/>
  <c r="AA61" i="10" s="1"/>
  <c r="N53" i="10"/>
  <c r="AB53" i="10" s="1"/>
  <c r="N74" i="10"/>
  <c r="AB74" i="10" s="1"/>
  <c r="N29" i="10"/>
  <c r="AB29" i="10" s="1"/>
  <c r="N39" i="10"/>
  <c r="AB39" i="10" s="1"/>
  <c r="N68" i="10"/>
  <c r="AB68" i="10" s="1"/>
  <c r="M47" i="10"/>
  <c r="AA47" i="10" s="1"/>
  <c r="M36" i="10"/>
  <c r="AA36" i="10" s="1"/>
  <c r="M17" i="10"/>
  <c r="AA17" i="10" s="1"/>
  <c r="M24" i="10"/>
  <c r="AA24" i="10" s="1"/>
  <c r="N87" i="10"/>
  <c r="AB87" i="10" s="1"/>
  <c r="N82" i="10"/>
  <c r="AB82" i="10" s="1"/>
  <c r="N76" i="10"/>
  <c r="AB76" i="10" s="1"/>
  <c r="M56" i="10"/>
  <c r="AA56" i="10" s="1"/>
  <c r="M75" i="10"/>
  <c r="AA75" i="10" s="1"/>
  <c r="B10" i="11"/>
  <c r="F10" i="11" s="1"/>
  <c r="P10" i="11" s="1"/>
  <c r="B22" i="11"/>
  <c r="F22" i="11" s="1"/>
  <c r="P22" i="11" s="1"/>
  <c r="B34" i="11"/>
  <c r="F34" i="11" s="1"/>
  <c r="P34" i="11" s="1"/>
  <c r="B46" i="11"/>
  <c r="F46" i="11" s="1"/>
  <c r="P46" i="11" s="1"/>
  <c r="B58" i="11"/>
  <c r="F58" i="11" s="1"/>
  <c r="P58" i="11" s="1"/>
  <c r="B70" i="11"/>
  <c r="F70" i="11" s="1"/>
  <c r="P70" i="11" s="1"/>
  <c r="B82" i="11"/>
  <c r="F82" i="11" s="1"/>
  <c r="P82" i="11" s="1"/>
  <c r="B11" i="11"/>
  <c r="F11" i="11" s="1"/>
  <c r="P11" i="11" s="1"/>
  <c r="B23" i="11"/>
  <c r="F23" i="11" s="1"/>
  <c r="P23" i="11" s="1"/>
  <c r="B35" i="11"/>
  <c r="F35" i="11" s="1"/>
  <c r="P35" i="11" s="1"/>
  <c r="B47" i="11"/>
  <c r="F47" i="11" s="1"/>
  <c r="P47" i="11" s="1"/>
  <c r="B59" i="11"/>
  <c r="F59" i="11" s="1"/>
  <c r="P59" i="11" s="1"/>
  <c r="B71" i="11"/>
  <c r="F71" i="11" s="1"/>
  <c r="P71" i="11" s="1"/>
  <c r="B83" i="11"/>
  <c r="F83" i="11" s="1"/>
  <c r="P83" i="11" s="1"/>
  <c r="B48" i="11"/>
  <c r="F48" i="11" s="1"/>
  <c r="P48" i="11" s="1"/>
  <c r="B72" i="11"/>
  <c r="F72" i="11" s="1"/>
  <c r="P72" i="11" s="1"/>
  <c r="B63" i="11"/>
  <c r="F63" i="11" s="1"/>
  <c r="P63" i="11" s="1"/>
  <c r="B13" i="11"/>
  <c r="F13" i="11" s="1"/>
  <c r="P13" i="11" s="1"/>
  <c r="B25" i="11"/>
  <c r="F25" i="11" s="1"/>
  <c r="P25" i="11" s="1"/>
  <c r="B37" i="11"/>
  <c r="F37" i="11" s="1"/>
  <c r="P37" i="11" s="1"/>
  <c r="B49" i="11"/>
  <c r="F49" i="11" s="1"/>
  <c r="P49" i="11" s="1"/>
  <c r="B61" i="11"/>
  <c r="F61" i="11" s="1"/>
  <c r="P61" i="11" s="1"/>
  <c r="B73" i="11"/>
  <c r="F73" i="11" s="1"/>
  <c r="P73" i="11" s="1"/>
  <c r="B85" i="11"/>
  <c r="F85" i="11" s="1"/>
  <c r="P85" i="11" s="1"/>
  <c r="B14" i="11"/>
  <c r="F14" i="11" s="1"/>
  <c r="P14" i="11" s="1"/>
  <c r="B26" i="11"/>
  <c r="F26" i="11" s="1"/>
  <c r="P26" i="11" s="1"/>
  <c r="B38" i="11"/>
  <c r="F38" i="11" s="1"/>
  <c r="P38" i="11" s="1"/>
  <c r="B50" i="11"/>
  <c r="F50" i="11" s="1"/>
  <c r="P50" i="11" s="1"/>
  <c r="B62" i="11"/>
  <c r="F62" i="11" s="1"/>
  <c r="P62" i="11" s="1"/>
  <c r="B74" i="11"/>
  <c r="F74" i="11" s="1"/>
  <c r="P74" i="11" s="1"/>
  <c r="B8" i="11"/>
  <c r="F8" i="11" s="1"/>
  <c r="P8" i="11" s="1"/>
  <c r="B15" i="11"/>
  <c r="F15" i="11" s="1"/>
  <c r="P15" i="11" s="1"/>
  <c r="B27" i="11"/>
  <c r="F27" i="11" s="1"/>
  <c r="P27" i="11" s="1"/>
  <c r="B16" i="11"/>
  <c r="F16" i="11" s="1"/>
  <c r="P16" i="11" s="1"/>
  <c r="B28" i="11"/>
  <c r="F28" i="11" s="1"/>
  <c r="P28" i="11" s="1"/>
  <c r="B40" i="11"/>
  <c r="F40" i="11" s="1"/>
  <c r="P40" i="11" s="1"/>
  <c r="B52" i="11"/>
  <c r="F52" i="11" s="1"/>
  <c r="P52" i="11" s="1"/>
  <c r="B64" i="11"/>
  <c r="F64" i="11" s="1"/>
  <c r="P64" i="11" s="1"/>
  <c r="B76" i="11"/>
  <c r="F76" i="11" s="1"/>
  <c r="P76" i="11" s="1"/>
  <c r="B31" i="11"/>
  <c r="F31" i="11" s="1"/>
  <c r="P31" i="11" s="1"/>
  <c r="B67" i="11"/>
  <c r="F67" i="11" s="1"/>
  <c r="P67" i="11" s="1"/>
  <c r="B32" i="11"/>
  <c r="F32" i="11" s="1"/>
  <c r="P32" i="11" s="1"/>
  <c r="B68" i="11"/>
  <c r="F68" i="11" s="1"/>
  <c r="P68" i="11" s="1"/>
  <c r="B21" i="11"/>
  <c r="F21" i="11" s="1"/>
  <c r="P21" i="11" s="1"/>
  <c r="B45" i="11"/>
  <c r="F45" i="11" s="1"/>
  <c r="P45" i="11" s="1"/>
  <c r="B81" i="11"/>
  <c r="F81" i="11" s="1"/>
  <c r="P81" i="11" s="1"/>
  <c r="B12" i="11"/>
  <c r="F12" i="11" s="1"/>
  <c r="P12" i="11" s="1"/>
  <c r="B51" i="11"/>
  <c r="F51" i="11" s="1"/>
  <c r="P51" i="11" s="1"/>
  <c r="B17" i="11"/>
  <c r="F17" i="11" s="1"/>
  <c r="P17" i="11" s="1"/>
  <c r="B29" i="11"/>
  <c r="F29" i="11" s="1"/>
  <c r="P29" i="11" s="1"/>
  <c r="B41" i="11"/>
  <c r="F41" i="11" s="1"/>
  <c r="P41" i="11" s="1"/>
  <c r="B53" i="11"/>
  <c r="F53" i="11" s="1"/>
  <c r="P53" i="11" s="1"/>
  <c r="B65" i="11"/>
  <c r="F65" i="11" s="1"/>
  <c r="P65" i="11" s="1"/>
  <c r="B77" i="11"/>
  <c r="F77" i="11" s="1"/>
  <c r="P77" i="11" s="1"/>
  <c r="B43" i="11"/>
  <c r="F43" i="11" s="1"/>
  <c r="P43" i="11" s="1"/>
  <c r="B79" i="11"/>
  <c r="F79" i="11" s="1"/>
  <c r="P79" i="11" s="1"/>
  <c r="B44" i="11"/>
  <c r="F44" i="11" s="1"/>
  <c r="P44" i="11" s="1"/>
  <c r="B80" i="11"/>
  <c r="F80" i="11" s="1"/>
  <c r="P80" i="11" s="1"/>
  <c r="B33" i="11"/>
  <c r="F33" i="11" s="1"/>
  <c r="P33" i="11" s="1"/>
  <c r="B57" i="11"/>
  <c r="F57" i="11" s="1"/>
  <c r="P57" i="11" s="1"/>
  <c r="B36" i="11"/>
  <c r="F36" i="11" s="1"/>
  <c r="P36" i="11" s="1"/>
  <c r="B84" i="11"/>
  <c r="F84" i="11" s="1"/>
  <c r="P84" i="11" s="1"/>
  <c r="B75" i="11"/>
  <c r="F75" i="11" s="1"/>
  <c r="P75" i="11" s="1"/>
  <c r="B18" i="11"/>
  <c r="F18" i="11" s="1"/>
  <c r="P18" i="11" s="1"/>
  <c r="B30" i="11"/>
  <c r="F30" i="11" s="1"/>
  <c r="P30" i="11" s="1"/>
  <c r="B42" i="11"/>
  <c r="F42" i="11" s="1"/>
  <c r="P42" i="11" s="1"/>
  <c r="B54" i="11"/>
  <c r="F54" i="11" s="1"/>
  <c r="P54" i="11" s="1"/>
  <c r="B66" i="11"/>
  <c r="F66" i="11" s="1"/>
  <c r="P66" i="11" s="1"/>
  <c r="B78" i="11"/>
  <c r="F78" i="11" s="1"/>
  <c r="P78" i="11" s="1"/>
  <c r="B19" i="11"/>
  <c r="F19" i="11" s="1"/>
  <c r="P19" i="11" s="1"/>
  <c r="B55" i="11"/>
  <c r="F55" i="11" s="1"/>
  <c r="P55" i="11" s="1"/>
  <c r="B20" i="11"/>
  <c r="F20" i="11" s="1"/>
  <c r="P20" i="11" s="1"/>
  <c r="B56" i="11"/>
  <c r="F56" i="11" s="1"/>
  <c r="P56" i="11" s="1"/>
  <c r="B9" i="11"/>
  <c r="F9" i="11" s="1"/>
  <c r="P9" i="11" s="1"/>
  <c r="B69" i="11"/>
  <c r="F69" i="11" s="1"/>
  <c r="P69" i="11" s="1"/>
  <c r="B24" i="11"/>
  <c r="F24" i="11" s="1"/>
  <c r="P24" i="11" s="1"/>
  <c r="B60" i="11"/>
  <c r="F60" i="11" s="1"/>
  <c r="P60" i="11" s="1"/>
  <c r="B39" i="11"/>
  <c r="F39" i="11" s="1"/>
  <c r="P39" i="11" s="1"/>
  <c r="N18" i="10"/>
  <c r="AB18" i="10" s="1"/>
  <c r="N58" i="10"/>
  <c r="AB58" i="10" s="1"/>
  <c r="M67" i="10"/>
  <c r="AA67" i="10" s="1"/>
  <c r="N81" i="10"/>
  <c r="AB81" i="10" s="1"/>
  <c r="N67" i="10"/>
  <c r="AB67" i="10" s="1"/>
  <c r="N13" i="10"/>
  <c r="AB13" i="10" s="1"/>
  <c r="AB8" i="10"/>
  <c r="N25" i="10"/>
  <c r="AB25" i="10" s="1"/>
  <c r="N27" i="10"/>
  <c r="AB27" i="10" s="1"/>
  <c r="N60" i="10"/>
  <c r="AB60" i="10" s="1"/>
  <c r="N33" i="10"/>
  <c r="AB33" i="10" s="1"/>
  <c r="N35" i="10"/>
  <c r="AB35" i="10" s="1"/>
  <c r="N14" i="10"/>
  <c r="AB14" i="10" s="1"/>
  <c r="N59" i="10"/>
  <c r="AB59" i="10" s="1"/>
  <c r="N79" i="10"/>
  <c r="AB79" i="10" s="1"/>
  <c r="N61" i="10"/>
  <c r="AB61" i="10" s="1"/>
  <c r="N22" i="10"/>
  <c r="AB22" i="10" s="1"/>
  <c r="N52" i="10"/>
  <c r="AB52" i="10" s="1"/>
  <c r="N20" i="10"/>
  <c r="AB20" i="10" s="1"/>
  <c r="N80" i="10"/>
  <c r="AB80" i="10" s="1"/>
  <c r="N72" i="10"/>
  <c r="AB72" i="10" s="1"/>
  <c r="N64" i="10"/>
  <c r="AB64" i="10" s="1"/>
  <c r="N42" i="10"/>
  <c r="AB42" i="10" s="1"/>
  <c r="M10" i="10"/>
  <c r="AA10" i="10" s="1"/>
  <c r="AA8" i="10"/>
  <c r="N73" i="10"/>
  <c r="AB73" i="10" s="1"/>
  <c r="N54" i="10"/>
  <c r="AB54" i="10" s="1"/>
  <c r="N77" i="10"/>
  <c r="AB77" i="10" s="1"/>
  <c r="N63" i="10"/>
  <c r="AB63" i="10" s="1"/>
  <c r="N41" i="10"/>
  <c r="AB41" i="10" s="1"/>
  <c r="N43" i="10"/>
  <c r="AB43" i="10" s="1"/>
  <c r="N15" i="10"/>
  <c r="AB15" i="10" s="1"/>
  <c r="N49" i="10"/>
  <c r="AB49" i="10" s="1"/>
  <c r="N51" i="10"/>
  <c r="AB51" i="10" s="1"/>
  <c r="N21" i="10"/>
  <c r="AB21" i="10" s="1"/>
  <c r="N23" i="10"/>
  <c r="AB23" i="10" s="1"/>
  <c r="N12" i="10"/>
  <c r="AB12" i="10" s="1"/>
  <c r="N75" i="10"/>
  <c r="AB75" i="10" s="1"/>
  <c r="N46" i="10"/>
  <c r="AB46" i="10" s="1"/>
  <c r="N44" i="10"/>
  <c r="AB44" i="10" s="1"/>
  <c r="N86" i="10"/>
  <c r="AB86" i="10" s="1"/>
  <c r="N78" i="10"/>
  <c r="AB78" i="10" s="1"/>
  <c r="N70" i="10"/>
  <c r="AB70" i="10" s="1"/>
  <c r="N62" i="10"/>
  <c r="AB62" i="10" s="1"/>
  <c r="N34" i="10"/>
  <c r="AB34" i="10" s="1"/>
  <c r="N85" i="10"/>
  <c r="AB85" i="10" s="1"/>
  <c r="N69" i="10"/>
  <c r="AB69" i="10" s="1"/>
  <c r="N40" i="10"/>
  <c r="AB40" i="10" s="1"/>
  <c r="M59" i="10"/>
  <c r="AA59" i="10" s="1"/>
  <c r="M54" i="10"/>
  <c r="AA54" i="10" s="1"/>
  <c r="M35" i="10"/>
  <c r="AA35" i="10" s="1"/>
  <c r="M32" i="10"/>
  <c r="AA32" i="10" s="1"/>
  <c r="M13" i="10"/>
  <c r="AA13" i="10" s="1"/>
  <c r="M45" i="10"/>
  <c r="AA45" i="10" s="1"/>
  <c r="M42" i="10"/>
  <c r="AA42" i="10" s="1"/>
  <c r="M23" i="10"/>
  <c r="AA23" i="10" s="1"/>
  <c r="M55" i="10"/>
  <c r="AA55" i="10" s="1"/>
  <c r="M81" i="10"/>
  <c r="AA81" i="10" s="1"/>
  <c r="M73" i="10"/>
  <c r="AA73" i="10" s="1"/>
  <c r="M65" i="10"/>
  <c r="AA65" i="10" s="1"/>
  <c r="M12" i="10"/>
  <c r="AA12" i="10" s="1"/>
  <c r="M25" i="10"/>
  <c r="AA25" i="10" s="1"/>
  <c r="M22" i="10"/>
  <c r="AA22" i="10" s="1"/>
  <c r="M20" i="10"/>
  <c r="AA20" i="10" s="1"/>
  <c r="M52" i="10"/>
  <c r="AA52" i="10" s="1"/>
  <c r="M33" i="10"/>
  <c r="AA33" i="10" s="1"/>
  <c r="M30" i="10"/>
  <c r="AA30" i="10" s="1"/>
  <c r="M11" i="10"/>
  <c r="AA11" i="10" s="1"/>
  <c r="M43" i="10"/>
  <c r="AA43" i="10" s="1"/>
  <c r="M40" i="10"/>
  <c r="AA40" i="10" s="1"/>
  <c r="M21" i="10"/>
  <c r="AA21" i="10" s="1"/>
  <c r="M53" i="10"/>
  <c r="AA53" i="10" s="1"/>
  <c r="M18" i="10"/>
  <c r="AA18" i="10" s="1"/>
  <c r="M50" i="10"/>
  <c r="AA50" i="10" s="1"/>
  <c r="M31" i="10"/>
  <c r="AA31" i="10" s="1"/>
  <c r="M9" i="10"/>
  <c r="AA9" i="10" s="1"/>
  <c r="M79" i="10"/>
  <c r="AA79" i="10" s="1"/>
  <c r="M71" i="10"/>
  <c r="AA71" i="10" s="1"/>
  <c r="M63" i="10"/>
  <c r="AA63" i="10" s="1"/>
  <c r="M44" i="10"/>
  <c r="AA44" i="10" s="1"/>
  <c r="M28" i="10"/>
  <c r="AA28" i="10" s="1"/>
  <c r="M57" i="10"/>
  <c r="AA57" i="10" s="1"/>
  <c r="M41" i="10"/>
  <c r="AA41" i="10" s="1"/>
  <c r="M38" i="10"/>
  <c r="AA38" i="10" s="1"/>
  <c r="M19" i="10"/>
  <c r="AA19" i="10" s="1"/>
  <c r="M51" i="10"/>
  <c r="AA51" i="10" s="1"/>
  <c r="M16" i="10"/>
  <c r="AA16" i="10" s="1"/>
  <c r="M48" i="10"/>
  <c r="AA48" i="10" s="1"/>
  <c r="M29" i="10"/>
  <c r="AA29" i="10" s="1"/>
  <c r="M26" i="10"/>
  <c r="AA26" i="10" s="1"/>
  <c r="M58" i="10"/>
  <c r="AA58" i="10" s="1"/>
  <c r="M39" i="10"/>
  <c r="AA39" i="10" s="1"/>
  <c r="M85" i="10"/>
  <c r="AA85" i="10" s="1"/>
  <c r="M77" i="10"/>
  <c r="AA77" i="10" s="1"/>
  <c r="M69" i="10"/>
  <c r="AA69" i="10" s="1"/>
  <c r="M60" i="10"/>
  <c r="AA60" i="10" s="1"/>
  <c r="M86" i="10"/>
  <c r="AA86" i="10" s="1"/>
  <c r="M78" i="10"/>
  <c r="AA78" i="10" s="1"/>
  <c r="M70" i="10"/>
  <c r="AA70" i="10" s="1"/>
  <c r="M62" i="10"/>
  <c r="AA62" i="10" s="1"/>
  <c r="M84" i="10"/>
  <c r="AA84" i="10" s="1"/>
  <c r="M76" i="10"/>
  <c r="AA76" i="10" s="1"/>
  <c r="M68" i="10"/>
  <c r="AA68" i="10" s="1"/>
  <c r="N56" i="10"/>
  <c r="AB56" i="10" s="1"/>
  <c r="N24" i="10"/>
  <c r="AB24" i="10" s="1"/>
  <c r="M82" i="10"/>
  <c r="AA82" i="10" s="1"/>
  <c r="M74" i="10"/>
  <c r="AA74" i="10" s="1"/>
  <c r="M66" i="10"/>
  <c r="AA66" i="10" s="1"/>
  <c r="N48" i="10"/>
  <c r="AB48" i="10" s="1"/>
  <c r="N16" i="10"/>
  <c r="AB16" i="10" s="1"/>
  <c r="M80" i="10"/>
  <c r="AA80" i="10" s="1"/>
  <c r="M72" i="10"/>
  <c r="AA72" i="10" s="1"/>
  <c r="M64" i="10"/>
  <c r="AA64" i="10" s="1"/>
  <c r="P96" i="17"/>
  <c r="O96" i="17"/>
  <c r="H8" i="14"/>
  <c r="C10" i="14" s="1"/>
  <c r="L86" i="11" l="1"/>
  <c r="H39" i="11"/>
  <c r="N39" i="11"/>
  <c r="S40" i="10" s="1"/>
  <c r="E40" i="10"/>
  <c r="H29" i="11"/>
  <c r="E30" i="10"/>
  <c r="N29" i="11"/>
  <c r="S30" i="10" s="1"/>
  <c r="H28" i="11"/>
  <c r="N28" i="11"/>
  <c r="S29" i="10" s="1"/>
  <c r="E29" i="10"/>
  <c r="H21" i="11"/>
  <c r="E22" i="10"/>
  <c r="N21" i="11"/>
  <c r="S22" i="10" s="1"/>
  <c r="H49" i="11"/>
  <c r="N49" i="11"/>
  <c r="S50" i="10" s="1"/>
  <c r="E50" i="10"/>
  <c r="H18" i="11"/>
  <c r="E19" i="10"/>
  <c r="N18" i="11"/>
  <c r="S19" i="10" s="1"/>
  <c r="H22" i="11"/>
  <c r="E23" i="10"/>
  <c r="N22" i="11"/>
  <c r="S23" i="10" s="1"/>
  <c r="H63" i="11"/>
  <c r="N63" i="11"/>
  <c r="S64" i="10" s="1"/>
  <c r="E64" i="10"/>
  <c r="H20" i="11"/>
  <c r="E21" i="10"/>
  <c r="N20" i="11"/>
  <c r="S21" i="10" s="1"/>
  <c r="H25" i="11"/>
  <c r="N25" i="11"/>
  <c r="S26" i="10" s="1"/>
  <c r="E26" i="10"/>
  <c r="H58" i="11"/>
  <c r="E59" i="10"/>
  <c r="N58" i="11"/>
  <c r="S59" i="10" s="1"/>
  <c r="H52" i="11"/>
  <c r="N52" i="11"/>
  <c r="S53" i="10" s="1"/>
  <c r="E53" i="10"/>
  <c r="H84" i="11"/>
  <c r="E85" i="10"/>
  <c r="N84" i="11"/>
  <c r="S85" i="10" s="1"/>
  <c r="H81" i="11"/>
  <c r="E82" i="10"/>
  <c r="N81" i="11"/>
  <c r="S82" i="10" s="1"/>
  <c r="H42" i="11"/>
  <c r="E43" i="10"/>
  <c r="N42" i="11"/>
  <c r="S43" i="10" s="1"/>
  <c r="H31" i="11"/>
  <c r="E32" i="10"/>
  <c r="N31" i="11"/>
  <c r="S32" i="10" s="1"/>
  <c r="H27" i="11"/>
  <c r="N27" i="11"/>
  <c r="S28" i="10" s="1"/>
  <c r="E28" i="10"/>
  <c r="H35" i="11"/>
  <c r="E36" i="10"/>
  <c r="N35" i="11"/>
  <c r="S36" i="10" s="1"/>
  <c r="H56" i="11"/>
  <c r="E57" i="10"/>
  <c r="N56" i="11"/>
  <c r="S57" i="10" s="1"/>
  <c r="H55" i="11"/>
  <c r="N55" i="11"/>
  <c r="S56" i="10" s="1"/>
  <c r="E56" i="10"/>
  <c r="H48" i="11"/>
  <c r="E49" i="10"/>
  <c r="N48" i="11"/>
  <c r="S49" i="10" s="1"/>
  <c r="H17" i="11"/>
  <c r="E18" i="10"/>
  <c r="N17" i="11"/>
  <c r="S18" i="10" s="1"/>
  <c r="H14" i="11"/>
  <c r="N14" i="11"/>
  <c r="S15" i="10" s="1"/>
  <c r="E15" i="10"/>
  <c r="H50" i="11"/>
  <c r="N50" i="11"/>
  <c r="S51" i="10" s="1"/>
  <c r="E51" i="10"/>
  <c r="H59" i="11"/>
  <c r="E60" i="10"/>
  <c r="N59" i="11"/>
  <c r="S60" i="10" s="1"/>
  <c r="H77" i="11"/>
  <c r="N77" i="11"/>
  <c r="S78" i="10" s="1"/>
  <c r="E78" i="10"/>
  <c r="H57" i="11"/>
  <c r="E58" i="10"/>
  <c r="N57" i="11"/>
  <c r="S58" i="10" s="1"/>
  <c r="H34" i="11"/>
  <c r="E35" i="10"/>
  <c r="N34" i="11"/>
  <c r="S35" i="10" s="1"/>
  <c r="H60" i="11"/>
  <c r="E61" i="10"/>
  <c r="N60" i="11"/>
  <c r="S61" i="10" s="1"/>
  <c r="H13" i="11"/>
  <c r="N13" i="11"/>
  <c r="S14" i="10" s="1"/>
  <c r="E14" i="10"/>
  <c r="H86" i="11"/>
  <c r="R86" i="11" s="1"/>
  <c r="N86" i="11"/>
  <c r="S87" i="10" s="1"/>
  <c r="U87" i="10" s="1"/>
  <c r="E87" i="10"/>
  <c r="F87" i="10" s="1"/>
  <c r="H76" i="11"/>
  <c r="N76" i="11"/>
  <c r="S77" i="10" s="1"/>
  <c r="E77" i="10"/>
  <c r="H78" i="11"/>
  <c r="E79" i="10"/>
  <c r="N78" i="11"/>
  <c r="S79" i="10" s="1"/>
  <c r="H19" i="11"/>
  <c r="E20" i="10"/>
  <c r="N19" i="11"/>
  <c r="S20" i="10" s="1"/>
  <c r="H16" i="11"/>
  <c r="N16" i="11"/>
  <c r="S17" i="10" s="1"/>
  <c r="E17" i="10"/>
  <c r="H79" i="11"/>
  <c r="E80" i="10"/>
  <c r="N79" i="11"/>
  <c r="S80" i="10" s="1"/>
  <c r="H72" i="11"/>
  <c r="N72" i="11"/>
  <c r="S73" i="10" s="1"/>
  <c r="E73" i="10"/>
  <c r="H74" i="11"/>
  <c r="N74" i="11"/>
  <c r="S75" i="10" s="1"/>
  <c r="E75" i="10"/>
  <c r="H64" i="11"/>
  <c r="N64" i="11"/>
  <c r="S65" i="10" s="1"/>
  <c r="E65" i="10"/>
  <c r="H36" i="11"/>
  <c r="N36" i="11"/>
  <c r="S37" i="10" s="1"/>
  <c r="E37" i="10"/>
  <c r="H82" i="11"/>
  <c r="E83" i="10"/>
  <c r="N82" i="11"/>
  <c r="S83" i="10" s="1"/>
  <c r="H65" i="11"/>
  <c r="E66" i="10"/>
  <c r="N65" i="11"/>
  <c r="S66" i="10" s="1"/>
  <c r="H24" i="11"/>
  <c r="E25" i="10"/>
  <c r="N24" i="11"/>
  <c r="S25" i="10" s="1"/>
  <c r="H41" i="11"/>
  <c r="E42" i="10"/>
  <c r="N41" i="11"/>
  <c r="S42" i="10" s="1"/>
  <c r="H67" i="11"/>
  <c r="E68" i="10"/>
  <c r="N67" i="11"/>
  <c r="S68" i="10" s="1"/>
  <c r="H44" i="11"/>
  <c r="E45" i="10"/>
  <c r="N44" i="11"/>
  <c r="S45" i="10" s="1"/>
  <c r="H37" i="11"/>
  <c r="N37" i="11"/>
  <c r="S38" i="10" s="1"/>
  <c r="E38" i="10"/>
  <c r="H71" i="11"/>
  <c r="E72" i="10"/>
  <c r="N71" i="11"/>
  <c r="S72" i="10" s="1"/>
  <c r="H30" i="11"/>
  <c r="E31" i="10"/>
  <c r="N30" i="11"/>
  <c r="S31" i="10" s="1"/>
  <c r="H10" i="11"/>
  <c r="E11" i="10"/>
  <c r="N10" i="11"/>
  <c r="S11" i="10" s="1"/>
  <c r="H46" i="11"/>
  <c r="E47" i="10"/>
  <c r="N46" i="11"/>
  <c r="S47" i="10" s="1"/>
  <c r="H9" i="11"/>
  <c r="E10" i="10"/>
  <c r="N9" i="11"/>
  <c r="S10" i="10" s="1"/>
  <c r="H62" i="11"/>
  <c r="N62" i="11"/>
  <c r="S63" i="10" s="1"/>
  <c r="E63" i="10"/>
  <c r="H11" i="11"/>
  <c r="E12" i="10"/>
  <c r="N11" i="11"/>
  <c r="S12" i="10" s="1"/>
  <c r="H70" i="11"/>
  <c r="E71" i="10"/>
  <c r="N70" i="11"/>
  <c r="S71" i="10" s="1"/>
  <c r="H43" i="11"/>
  <c r="E44" i="10"/>
  <c r="N43" i="11"/>
  <c r="S44" i="10" s="1"/>
  <c r="H33" i="11"/>
  <c r="E34" i="10"/>
  <c r="N33" i="11"/>
  <c r="S34" i="10" s="1"/>
  <c r="H54" i="11"/>
  <c r="E55" i="10"/>
  <c r="N54" i="11"/>
  <c r="S55" i="10" s="1"/>
  <c r="H38" i="11"/>
  <c r="N38" i="11"/>
  <c r="S39" i="10" s="1"/>
  <c r="E39" i="10"/>
  <c r="H26" i="11"/>
  <c r="N26" i="11"/>
  <c r="S27" i="10" s="1"/>
  <c r="E27" i="10"/>
  <c r="H68" i="11"/>
  <c r="E69" i="10"/>
  <c r="N68" i="11"/>
  <c r="S69" i="10" s="1"/>
  <c r="H85" i="11"/>
  <c r="N85" i="11"/>
  <c r="S86" i="10" s="1"/>
  <c r="E86" i="10"/>
  <c r="H45" i="11"/>
  <c r="E46" i="10"/>
  <c r="N45" i="11"/>
  <c r="S46" i="10" s="1"/>
  <c r="H23" i="11"/>
  <c r="E24" i="10"/>
  <c r="N23" i="11"/>
  <c r="S24" i="10" s="1"/>
  <c r="H73" i="11"/>
  <c r="N73" i="11"/>
  <c r="S74" i="10" s="1"/>
  <c r="E74" i="10"/>
  <c r="H32" i="11"/>
  <c r="E33" i="10"/>
  <c r="N32" i="11"/>
  <c r="S33" i="10" s="1"/>
  <c r="H66" i="11"/>
  <c r="E67" i="10"/>
  <c r="N66" i="11"/>
  <c r="S67" i="10" s="1"/>
  <c r="H51" i="11"/>
  <c r="N51" i="11"/>
  <c r="S52" i="10" s="1"/>
  <c r="E52" i="10"/>
  <c r="H75" i="11"/>
  <c r="N75" i="11"/>
  <c r="S76" i="10" s="1"/>
  <c r="E76" i="10"/>
  <c r="H53" i="11"/>
  <c r="E54" i="10"/>
  <c r="N53" i="11"/>
  <c r="S54" i="10" s="1"/>
  <c r="H8" i="11"/>
  <c r="N8" i="11"/>
  <c r="S9" i="10" s="1"/>
  <c r="E9" i="10"/>
  <c r="H69" i="11"/>
  <c r="E70" i="10"/>
  <c r="N69" i="11"/>
  <c r="S70" i="10" s="1"/>
  <c r="H15" i="11"/>
  <c r="N15" i="11"/>
  <c r="S16" i="10" s="1"/>
  <c r="E16" i="10"/>
  <c r="H40" i="11"/>
  <c r="N40" i="11"/>
  <c r="S41" i="10" s="1"/>
  <c r="E41" i="10"/>
  <c r="H61" i="11"/>
  <c r="N61" i="11"/>
  <c r="S62" i="10" s="1"/>
  <c r="E62" i="10"/>
  <c r="H80" i="11"/>
  <c r="E81" i="10"/>
  <c r="N80" i="11"/>
  <c r="S81" i="10" s="1"/>
  <c r="H12" i="11"/>
  <c r="E13" i="10"/>
  <c r="N12" i="11"/>
  <c r="S13" i="10" s="1"/>
  <c r="H47" i="11"/>
  <c r="E48" i="10"/>
  <c r="N47" i="11"/>
  <c r="S48" i="10" s="1"/>
  <c r="H83" i="11"/>
  <c r="E84" i="10"/>
  <c r="N83" i="11"/>
  <c r="S84" i="10" s="1"/>
  <c r="C8" i="14"/>
  <c r="P8" i="1"/>
  <c r="P87" i="1" s="1"/>
  <c r="M9" i="1"/>
  <c r="C8" i="1"/>
  <c r="N94" i="17"/>
  <c r="G87" i="10" l="1"/>
  <c r="T87" i="10"/>
  <c r="G23" i="15"/>
  <c r="G12" i="15"/>
  <c r="N87" i="1"/>
  <c r="C87" i="1"/>
  <c r="C87" i="6" s="1"/>
  <c r="M86" i="1"/>
  <c r="M87" i="1"/>
  <c r="V87" i="1" s="1"/>
  <c r="O87" i="6"/>
  <c r="N86" i="1"/>
  <c r="C86" i="1"/>
  <c r="P80" i="1"/>
  <c r="P86" i="1"/>
  <c r="P84" i="1"/>
  <c r="P81" i="1"/>
  <c r="P85" i="1"/>
  <c r="O85" i="6" s="1"/>
  <c r="P72" i="1"/>
  <c r="P67" i="1"/>
  <c r="P82" i="1"/>
  <c r="P73" i="1"/>
  <c r="P68" i="1"/>
  <c r="P79" i="1"/>
  <c r="P83" i="1"/>
  <c r="P78" i="1"/>
  <c r="M87" i="6" l="1"/>
  <c r="W87" i="1"/>
  <c r="V86" i="1"/>
  <c r="C86" i="6"/>
  <c r="O86" i="6"/>
  <c r="W86" i="1"/>
  <c r="U86" i="6" s="1"/>
  <c r="M86" i="6"/>
  <c r="C85" i="1"/>
  <c r="N85" i="1"/>
  <c r="W85" i="1" s="1"/>
  <c r="U87" i="6" l="1"/>
  <c r="R87" i="1"/>
  <c r="Q87" i="6" s="1"/>
  <c r="Q87" i="1"/>
  <c r="P87" i="6" s="1"/>
  <c r="S87" i="1"/>
  <c r="R87" i="6" s="1"/>
  <c r="T87" i="1"/>
  <c r="S87" i="6" s="1"/>
  <c r="T86" i="1"/>
  <c r="S86" i="6" s="1"/>
  <c r="S86" i="1"/>
  <c r="R86" i="6" s="1"/>
  <c r="R86" i="1"/>
  <c r="Q86" i="6" s="1"/>
  <c r="Q86" i="1"/>
  <c r="P86" i="6" s="1"/>
  <c r="C85" i="6"/>
  <c r="M85" i="6"/>
  <c r="U85" i="6"/>
  <c r="N9" i="4" l="1"/>
  <c r="N87" i="4" s="1"/>
  <c r="W87" i="4" s="1"/>
  <c r="H8" i="4"/>
  <c r="Q8" i="4"/>
  <c r="D8" i="4"/>
  <c r="O9" i="4"/>
  <c r="O87" i="4" s="1"/>
  <c r="C8" i="4"/>
  <c r="C87" i="4" s="1"/>
  <c r="C87" i="9" s="1"/>
  <c r="D15" i="14"/>
  <c r="G23" i="14"/>
  <c r="G22" i="14"/>
  <c r="G21" i="14"/>
  <c r="N71" i="17" s="1"/>
  <c r="N72" i="17" l="1"/>
  <c r="P14" i="13" s="1"/>
  <c r="X87" i="4"/>
  <c r="V87" i="9" s="1"/>
  <c r="N87" i="9"/>
  <c r="D86" i="4"/>
  <c r="D86" i="9" s="1"/>
  <c r="D87" i="4"/>
  <c r="D87" i="9" s="1"/>
  <c r="Q86" i="4"/>
  <c r="P86" i="9" s="1"/>
  <c r="Q87" i="4"/>
  <c r="H79" i="4"/>
  <c r="H87" i="4"/>
  <c r="H87" i="9" s="1"/>
  <c r="C85" i="4"/>
  <c r="C85" i="9" s="1"/>
  <c r="C86" i="4"/>
  <c r="C86" i="9" s="1"/>
  <c r="H84" i="4"/>
  <c r="H86" i="4"/>
  <c r="X9" i="4"/>
  <c r="O86" i="4"/>
  <c r="W9" i="4"/>
  <c r="N86" i="4"/>
  <c r="W86" i="4" s="1"/>
  <c r="H82" i="4"/>
  <c r="O85" i="4"/>
  <c r="X85" i="4" s="1"/>
  <c r="H85" i="4"/>
  <c r="H73" i="4"/>
  <c r="Q85" i="4"/>
  <c r="P85" i="9" s="1"/>
  <c r="H72" i="4"/>
  <c r="H68" i="4"/>
  <c r="Q83" i="4"/>
  <c r="H83" i="4"/>
  <c r="H80" i="4"/>
  <c r="H67" i="4"/>
  <c r="H81" i="4"/>
  <c r="H78" i="4"/>
  <c r="Q73" i="4"/>
  <c r="Q67" i="4"/>
  <c r="Q68" i="4"/>
  <c r="Q72" i="4"/>
  <c r="Q78" i="4"/>
  <c r="Q82" i="4"/>
  <c r="Q80" i="4"/>
  <c r="Q79" i="4"/>
  <c r="Q84" i="4"/>
  <c r="H8" i="18"/>
  <c r="H8" i="9"/>
  <c r="J8" i="4"/>
  <c r="L8" i="4"/>
  <c r="I8" i="4"/>
  <c r="K8" i="4"/>
  <c r="L86" i="17"/>
  <c r="L85" i="17"/>
  <c r="E8" i="4"/>
  <c r="D8" i="9"/>
  <c r="D8" i="18"/>
  <c r="G8" i="4"/>
  <c r="Q81" i="4"/>
  <c r="O15" i="17"/>
  <c r="O16" i="17" s="1"/>
  <c r="R14" i="13" l="1"/>
  <c r="P43" i="13"/>
  <c r="P27" i="13"/>
  <c r="R27" i="13" s="1"/>
  <c r="P87" i="9"/>
  <c r="U87" i="4"/>
  <c r="T87" i="9" s="1"/>
  <c r="S87" i="4"/>
  <c r="R87" i="9" s="1"/>
  <c r="R87" i="4"/>
  <c r="Q87" i="9" s="1"/>
  <c r="T87" i="4"/>
  <c r="S87" i="9" s="1"/>
  <c r="G86" i="4"/>
  <c r="G86" i="9" s="1"/>
  <c r="G87" i="4"/>
  <c r="G87" i="9" s="1"/>
  <c r="E86" i="4"/>
  <c r="E86" i="9" s="1"/>
  <c r="E87" i="4"/>
  <c r="E87" i="9" s="1"/>
  <c r="K8" i="9"/>
  <c r="K87" i="4"/>
  <c r="K87" i="9" s="1"/>
  <c r="I8" i="9"/>
  <c r="I87" i="4"/>
  <c r="I87" i="9" s="1"/>
  <c r="L8" i="9"/>
  <c r="L87" i="4"/>
  <c r="L87" i="9" s="1"/>
  <c r="J8" i="9"/>
  <c r="J87" i="4"/>
  <c r="J87" i="9" s="1"/>
  <c r="K86" i="4"/>
  <c r="K86" i="9" s="1"/>
  <c r="H86" i="9"/>
  <c r="J86" i="4"/>
  <c r="J86" i="9" s="1"/>
  <c r="L86" i="4"/>
  <c r="L86" i="9" s="1"/>
  <c r="I86" i="4"/>
  <c r="I86" i="9" s="1"/>
  <c r="X86" i="4"/>
  <c r="N86" i="9"/>
  <c r="N85" i="9"/>
  <c r="E8" i="18"/>
  <c r="E8" i="9"/>
  <c r="E85" i="4"/>
  <c r="E73" i="4"/>
  <c r="E68" i="4"/>
  <c r="E78" i="4"/>
  <c r="E83" i="4"/>
  <c r="E81" i="4"/>
  <c r="E82" i="4"/>
  <c r="E67" i="4"/>
  <c r="E79" i="4"/>
  <c r="E80" i="4"/>
  <c r="E72" i="4"/>
  <c r="E84" i="4"/>
  <c r="G8" i="9"/>
  <c r="G8" i="18"/>
  <c r="G84" i="4"/>
  <c r="G72" i="4"/>
  <c r="G68" i="4"/>
  <c r="G67" i="4"/>
  <c r="G73" i="4"/>
  <c r="G79" i="4"/>
  <c r="G80" i="4"/>
  <c r="G78" i="4"/>
  <c r="G83" i="4"/>
  <c r="G82" i="4"/>
  <c r="G85" i="4"/>
  <c r="G81" i="4"/>
  <c r="M13" i="1"/>
  <c r="M85" i="1"/>
  <c r="V85" i="1" s="1"/>
  <c r="V85" i="9"/>
  <c r="Q8" i="1"/>
  <c r="E65" i="19"/>
  <c r="E66" i="19" s="1"/>
  <c r="R8" i="1"/>
  <c r="H65" i="19" s="1"/>
  <c r="S8" i="1"/>
  <c r="I65" i="19" s="1"/>
  <c r="F65" i="19"/>
  <c r="F66" i="19" s="1"/>
  <c r="T8" i="1"/>
  <c r="J65" i="19" s="1"/>
  <c r="B65" i="19"/>
  <c r="B9" i="19"/>
  <c r="B10" i="19" s="1"/>
  <c r="M69" i="1"/>
  <c r="M77" i="1"/>
  <c r="M21" i="1"/>
  <c r="O84" i="6"/>
  <c r="M37" i="1"/>
  <c r="M45" i="1"/>
  <c r="M61" i="1"/>
  <c r="M29" i="1"/>
  <c r="M10" i="1"/>
  <c r="M53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78" i="1"/>
  <c r="M62" i="1"/>
  <c r="M54" i="1"/>
  <c r="M38" i="1"/>
  <c r="M30" i="1"/>
  <c r="M14" i="1"/>
  <c r="M81" i="1"/>
  <c r="M73" i="1"/>
  <c r="M65" i="1"/>
  <c r="M57" i="1"/>
  <c r="M49" i="1"/>
  <c r="M41" i="1"/>
  <c r="M33" i="1"/>
  <c r="M25" i="1"/>
  <c r="M17" i="1"/>
  <c r="C84" i="1"/>
  <c r="N84" i="1"/>
  <c r="M70" i="1"/>
  <c r="M46" i="1"/>
  <c r="M22" i="1"/>
  <c r="M82" i="1"/>
  <c r="M74" i="1"/>
  <c r="M66" i="1"/>
  <c r="M58" i="1"/>
  <c r="M50" i="1"/>
  <c r="M42" i="1"/>
  <c r="M34" i="1"/>
  <c r="M26" i="1"/>
  <c r="M18" i="1"/>
  <c r="A2" i="6"/>
  <c r="U86" i="4" l="1"/>
  <c r="T86" i="9" s="1"/>
  <c r="V86" i="9"/>
  <c r="T86" i="4"/>
  <c r="S86" i="9" s="1"/>
  <c r="R86" i="4"/>
  <c r="Q86" i="9" s="1"/>
  <c r="S86" i="4"/>
  <c r="R86" i="9" s="1"/>
  <c r="M84" i="6"/>
  <c r="W84" i="1"/>
  <c r="V84" i="1"/>
  <c r="Q85" i="1"/>
  <c r="P85" i="6" s="1"/>
  <c r="S85" i="1"/>
  <c r="R85" i="6" s="1"/>
  <c r="R85" i="1"/>
  <c r="Q85" i="6" s="1"/>
  <c r="T85" i="1"/>
  <c r="S85" i="6" s="1"/>
  <c r="C84" i="6"/>
  <c r="B66" i="19"/>
  <c r="C14" i="15"/>
  <c r="C24" i="15" s="1"/>
  <c r="Q84" i="1" l="1"/>
  <c r="P84" i="6" s="1"/>
  <c r="U84" i="6"/>
  <c r="T84" i="1"/>
  <c r="S84" i="6" s="1"/>
  <c r="S84" i="1"/>
  <c r="R84" i="6" s="1"/>
  <c r="R84" i="1"/>
  <c r="Q84" i="6" s="1"/>
  <c r="A2" i="4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C83" i="1" l="1"/>
  <c r="N83" i="1"/>
  <c r="A2" i="12"/>
  <c r="A2" i="18"/>
  <c r="A2" i="9"/>
  <c r="A2" i="7"/>
  <c r="A2" i="5"/>
  <c r="A2" i="3"/>
  <c r="N9" i="3" l="1"/>
  <c r="Q8" i="3"/>
  <c r="Q87" i="3" s="1"/>
  <c r="C8" i="3"/>
  <c r="H8" i="5"/>
  <c r="Q8" i="5"/>
  <c r="Q88" i="5" s="1"/>
  <c r="D8" i="5"/>
  <c r="N10" i="5"/>
  <c r="C8" i="5"/>
  <c r="C88" i="5" s="1"/>
  <c r="C88" i="18" s="1"/>
  <c r="I9" i="5"/>
  <c r="O88" i="5" s="1"/>
  <c r="J7" i="11"/>
  <c r="K67" i="10"/>
  <c r="K68" i="10"/>
  <c r="W83" i="1"/>
  <c r="V83" i="1"/>
  <c r="B56" i="2"/>
  <c r="L55" i="12" s="1"/>
  <c r="B57" i="2"/>
  <c r="P84" i="9"/>
  <c r="C84" i="4"/>
  <c r="N85" i="4"/>
  <c r="W85" i="4" s="1"/>
  <c r="F22" i="14"/>
  <c r="F23" i="14"/>
  <c r="D16" i="14"/>
  <c r="C83" i="6"/>
  <c r="O83" i="6"/>
  <c r="M83" i="6"/>
  <c r="B53" i="2"/>
  <c r="C52" i="2" s="1"/>
  <c r="B55" i="2"/>
  <c r="O46" i="17"/>
  <c r="B54" i="2"/>
  <c r="E9" i="14"/>
  <c r="D6" i="12"/>
  <c r="C40" i="12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51" i="2"/>
  <c r="G50" i="12" s="1"/>
  <c r="B52" i="2"/>
  <c r="F51" i="12" s="1"/>
  <c r="P78" i="2"/>
  <c r="P77" i="2"/>
  <c r="O77" i="2"/>
  <c r="P76" i="2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J82" i="11" l="1"/>
  <c r="J86" i="11"/>
  <c r="T86" i="11" s="1"/>
  <c r="O85" i="3"/>
  <c r="X85" i="3" s="1"/>
  <c r="V85" i="7" s="1"/>
  <c r="O87" i="3"/>
  <c r="C87" i="3"/>
  <c r="C87" i="7" s="1"/>
  <c r="P87" i="7"/>
  <c r="N65" i="3"/>
  <c r="W65" i="3" s="1"/>
  <c r="N87" i="3"/>
  <c r="W87" i="3" s="1"/>
  <c r="N15" i="5"/>
  <c r="W15" i="5" s="1"/>
  <c r="N88" i="5"/>
  <c r="W88" i="5" s="1"/>
  <c r="H69" i="5"/>
  <c r="H88" i="5"/>
  <c r="D87" i="5"/>
  <c r="D87" i="18" s="1"/>
  <c r="D88" i="5"/>
  <c r="D88" i="18" s="1"/>
  <c r="P88" i="18"/>
  <c r="N88" i="18"/>
  <c r="X88" i="5"/>
  <c r="V88" i="18" s="1"/>
  <c r="N76" i="3"/>
  <c r="W76" i="3" s="1"/>
  <c r="N33" i="3"/>
  <c r="W33" i="3" s="1"/>
  <c r="F8" i="10"/>
  <c r="G8" i="10"/>
  <c r="U8" i="10" s="1"/>
  <c r="N16" i="5"/>
  <c r="W16" i="5" s="1"/>
  <c r="N57" i="5"/>
  <c r="W57" i="5" s="1"/>
  <c r="N80" i="5"/>
  <c r="W80" i="5" s="1"/>
  <c r="N48" i="5"/>
  <c r="W48" i="5" s="1"/>
  <c r="N68" i="5"/>
  <c r="W68" i="5" s="1"/>
  <c r="N85" i="5"/>
  <c r="W85" i="5" s="1"/>
  <c r="N21" i="5"/>
  <c r="W21" i="5" s="1"/>
  <c r="N62" i="5"/>
  <c r="W62" i="5" s="1"/>
  <c r="N30" i="5"/>
  <c r="W30" i="5" s="1"/>
  <c r="N14" i="5"/>
  <c r="W14" i="5" s="1"/>
  <c r="N55" i="5"/>
  <c r="W55" i="5" s="1"/>
  <c r="N39" i="5"/>
  <c r="W39" i="5" s="1"/>
  <c r="N40" i="5"/>
  <c r="W40" i="5" s="1"/>
  <c r="N49" i="5"/>
  <c r="W49" i="5" s="1"/>
  <c r="N60" i="5"/>
  <c r="W60" i="5" s="1"/>
  <c r="N77" i="5"/>
  <c r="W77" i="5" s="1"/>
  <c r="N74" i="5"/>
  <c r="W74" i="5" s="1"/>
  <c r="N42" i="5"/>
  <c r="W42" i="5" s="1"/>
  <c r="N26" i="5"/>
  <c r="W26" i="5" s="1"/>
  <c r="N67" i="5"/>
  <c r="W67" i="5" s="1"/>
  <c r="N51" i="5"/>
  <c r="W51" i="5" s="1"/>
  <c r="N31" i="5"/>
  <c r="W31" i="5" s="1"/>
  <c r="N64" i="5"/>
  <c r="W64" i="5" s="1"/>
  <c r="N32" i="5"/>
  <c r="W32" i="5" s="1"/>
  <c r="N73" i="5"/>
  <c r="W73" i="5" s="1"/>
  <c r="N41" i="5"/>
  <c r="W41" i="5" s="1"/>
  <c r="N84" i="5"/>
  <c r="W84" i="5" s="1"/>
  <c r="N52" i="5"/>
  <c r="W52" i="5" s="1"/>
  <c r="N20" i="5"/>
  <c r="W20" i="5" s="1"/>
  <c r="N69" i="5"/>
  <c r="W69" i="5" s="1"/>
  <c r="N37" i="5"/>
  <c r="W37" i="5" s="1"/>
  <c r="N11" i="5"/>
  <c r="W11" i="5" s="1"/>
  <c r="N70" i="5"/>
  <c r="W70" i="5" s="1"/>
  <c r="N54" i="5"/>
  <c r="W54" i="5" s="1"/>
  <c r="N38" i="5"/>
  <c r="W38" i="5" s="1"/>
  <c r="N22" i="5"/>
  <c r="W22" i="5" s="1"/>
  <c r="N79" i="5"/>
  <c r="W79" i="5" s="1"/>
  <c r="N63" i="5"/>
  <c r="W63" i="5" s="1"/>
  <c r="N47" i="5"/>
  <c r="W47" i="5" s="1"/>
  <c r="N23" i="5"/>
  <c r="W23" i="5" s="1"/>
  <c r="N25" i="5"/>
  <c r="W25" i="5" s="1"/>
  <c r="N36" i="5"/>
  <c r="W36" i="5" s="1"/>
  <c r="N53" i="5"/>
  <c r="W53" i="5" s="1"/>
  <c r="N78" i="5"/>
  <c r="W78" i="5" s="1"/>
  <c r="N46" i="5"/>
  <c r="W46" i="5" s="1"/>
  <c r="N71" i="5"/>
  <c r="W71" i="5" s="1"/>
  <c r="N72" i="5"/>
  <c r="W72" i="5" s="1"/>
  <c r="N81" i="5"/>
  <c r="W81" i="5" s="1"/>
  <c r="N17" i="5"/>
  <c r="W17" i="5" s="1"/>
  <c r="N28" i="5"/>
  <c r="W28" i="5" s="1"/>
  <c r="N45" i="5"/>
  <c r="W45" i="5" s="1"/>
  <c r="N13" i="5"/>
  <c r="W13" i="5" s="1"/>
  <c r="N58" i="5"/>
  <c r="W58" i="5" s="1"/>
  <c r="N83" i="5"/>
  <c r="W83" i="5" s="1"/>
  <c r="N56" i="5"/>
  <c r="W56" i="5" s="1"/>
  <c r="N24" i="5"/>
  <c r="W24" i="5" s="1"/>
  <c r="N65" i="5"/>
  <c r="W65" i="5" s="1"/>
  <c r="N33" i="5"/>
  <c r="W33" i="5" s="1"/>
  <c r="N76" i="5"/>
  <c r="W76" i="5" s="1"/>
  <c r="N44" i="5"/>
  <c r="W44" i="5" s="1"/>
  <c r="N12" i="5"/>
  <c r="W12" i="5" s="1"/>
  <c r="N61" i="5"/>
  <c r="W61" i="5" s="1"/>
  <c r="N29" i="5"/>
  <c r="W29" i="5" s="1"/>
  <c r="N82" i="5"/>
  <c r="W82" i="5" s="1"/>
  <c r="N66" i="5"/>
  <c r="W66" i="5" s="1"/>
  <c r="N50" i="5"/>
  <c r="W50" i="5" s="1"/>
  <c r="N34" i="5"/>
  <c r="W34" i="5" s="1"/>
  <c r="N18" i="5"/>
  <c r="W18" i="5" s="1"/>
  <c r="N75" i="5"/>
  <c r="W75" i="5" s="1"/>
  <c r="N59" i="5"/>
  <c r="W59" i="5" s="1"/>
  <c r="N43" i="5"/>
  <c r="W43" i="5" s="1"/>
  <c r="N30" i="3"/>
  <c r="W30" i="3" s="1"/>
  <c r="N44" i="3"/>
  <c r="W44" i="3" s="1"/>
  <c r="J67" i="11"/>
  <c r="J85" i="11"/>
  <c r="T85" i="11" s="1"/>
  <c r="O85" i="5"/>
  <c r="X85" i="5" s="1"/>
  <c r="V85" i="18" s="1"/>
  <c r="O87" i="5"/>
  <c r="Q74" i="5"/>
  <c r="Q87" i="5"/>
  <c r="C85" i="5"/>
  <c r="C85" i="18" s="1"/>
  <c r="C87" i="5"/>
  <c r="C87" i="18" s="1"/>
  <c r="H86" i="5"/>
  <c r="H87" i="5"/>
  <c r="W10" i="5"/>
  <c r="N87" i="5"/>
  <c r="W87" i="5" s="1"/>
  <c r="W9" i="3"/>
  <c r="N86" i="3"/>
  <c r="W86" i="3" s="1"/>
  <c r="Q79" i="3"/>
  <c r="Q86" i="3"/>
  <c r="O86" i="3"/>
  <c r="C86" i="3"/>
  <c r="C86" i="7" s="1"/>
  <c r="J66" i="11"/>
  <c r="J81" i="11"/>
  <c r="M55" i="12"/>
  <c r="H83" i="5"/>
  <c r="Q68" i="5"/>
  <c r="C86" i="5"/>
  <c r="C86" i="18" s="1"/>
  <c r="O36" i="5"/>
  <c r="X36" i="5" s="1"/>
  <c r="V36" i="18" s="1"/>
  <c r="O86" i="5"/>
  <c r="X86" i="5" s="1"/>
  <c r="V86" i="18" s="1"/>
  <c r="Q79" i="5"/>
  <c r="Q80" i="5"/>
  <c r="Q85" i="5"/>
  <c r="P85" i="18" s="1"/>
  <c r="Q82" i="5"/>
  <c r="Q81" i="5"/>
  <c r="Q73" i="5"/>
  <c r="Q83" i="3"/>
  <c r="Q82" i="3"/>
  <c r="Q72" i="3"/>
  <c r="Q81" i="3"/>
  <c r="Q78" i="3"/>
  <c r="Q84" i="3"/>
  <c r="Q73" i="3"/>
  <c r="Q69" i="5"/>
  <c r="Q84" i="5"/>
  <c r="H81" i="5"/>
  <c r="H80" i="5"/>
  <c r="H74" i="5"/>
  <c r="H82" i="5"/>
  <c r="H68" i="5"/>
  <c r="H73" i="5"/>
  <c r="H84" i="5"/>
  <c r="Q86" i="5"/>
  <c r="Q68" i="3"/>
  <c r="P68" i="7" s="1"/>
  <c r="Q80" i="3"/>
  <c r="N26" i="3"/>
  <c r="W26" i="3" s="1"/>
  <c r="N12" i="3"/>
  <c r="W12" i="3" s="1"/>
  <c r="N59" i="3"/>
  <c r="W59" i="3" s="1"/>
  <c r="N31" i="3"/>
  <c r="W31" i="3" s="1"/>
  <c r="J72" i="11"/>
  <c r="J78" i="11"/>
  <c r="J71" i="11"/>
  <c r="J84" i="11"/>
  <c r="T84" i="11" s="1"/>
  <c r="J77" i="11"/>
  <c r="J80" i="11"/>
  <c r="J79" i="11"/>
  <c r="J83" i="11"/>
  <c r="T83" i="11" s="1"/>
  <c r="H85" i="5"/>
  <c r="H79" i="5"/>
  <c r="E55" i="12"/>
  <c r="H55" i="12"/>
  <c r="I55" i="12"/>
  <c r="C55" i="2"/>
  <c r="F55" i="12"/>
  <c r="D55" i="12"/>
  <c r="K55" i="12"/>
  <c r="J55" i="12"/>
  <c r="G55" i="12"/>
  <c r="N55" i="12"/>
  <c r="Q85" i="3"/>
  <c r="P85" i="7" s="1"/>
  <c r="E8" i="5"/>
  <c r="G8" i="5"/>
  <c r="Q83" i="5"/>
  <c r="Q67" i="3"/>
  <c r="P67" i="7" s="1"/>
  <c r="N22" i="17"/>
  <c r="O76" i="17"/>
  <c r="R85" i="4"/>
  <c r="Q85" i="9" s="1"/>
  <c r="T85" i="4"/>
  <c r="S85" i="9" s="1"/>
  <c r="S85" i="4"/>
  <c r="R85" i="9" s="1"/>
  <c r="U85" i="4"/>
  <c r="T85" i="9" s="1"/>
  <c r="C84" i="3"/>
  <c r="C84" i="7" s="1"/>
  <c r="C85" i="3"/>
  <c r="C85" i="7" s="1"/>
  <c r="N85" i="3"/>
  <c r="N86" i="5"/>
  <c r="G56" i="12"/>
  <c r="K56" i="12"/>
  <c r="C56" i="2"/>
  <c r="D56" i="12"/>
  <c r="H56" i="12"/>
  <c r="L56" i="12"/>
  <c r="J56" i="12"/>
  <c r="E56" i="12"/>
  <c r="I56" i="12"/>
  <c r="M56" i="12"/>
  <c r="F56" i="12"/>
  <c r="N56" i="12"/>
  <c r="N35" i="5"/>
  <c r="W35" i="5" s="1"/>
  <c r="N19" i="5"/>
  <c r="W19" i="5" s="1"/>
  <c r="N27" i="5"/>
  <c r="W27" i="5" s="1"/>
  <c r="S83" i="1"/>
  <c r="R83" i="6" s="1"/>
  <c r="N42" i="3"/>
  <c r="W42" i="3" s="1"/>
  <c r="N22" i="3"/>
  <c r="W22" i="3" s="1"/>
  <c r="N60" i="3"/>
  <c r="W60" i="3" s="1"/>
  <c r="N55" i="3"/>
  <c r="W55" i="3" s="1"/>
  <c r="N49" i="3"/>
  <c r="W49" i="3" s="1"/>
  <c r="N50" i="3"/>
  <c r="W50" i="3" s="1"/>
  <c r="N19" i="3"/>
  <c r="W19" i="3" s="1"/>
  <c r="N28" i="3"/>
  <c r="W28" i="3" s="1"/>
  <c r="N81" i="3"/>
  <c r="W81" i="3" s="1"/>
  <c r="N17" i="3"/>
  <c r="W17" i="3" s="1"/>
  <c r="C84" i="9"/>
  <c r="T83" i="1"/>
  <c r="S83" i="6" s="1"/>
  <c r="Q83" i="1"/>
  <c r="P83" i="6" s="1"/>
  <c r="N58" i="3"/>
  <c r="W58" i="3" s="1"/>
  <c r="N46" i="3"/>
  <c r="W46" i="3" s="1"/>
  <c r="N66" i="3"/>
  <c r="W66" i="3" s="1"/>
  <c r="N74" i="3"/>
  <c r="W74" i="3" s="1"/>
  <c r="N38" i="3"/>
  <c r="W38" i="3" s="1"/>
  <c r="N67" i="3"/>
  <c r="W67" i="3" s="1"/>
  <c r="N27" i="3"/>
  <c r="W27" i="3" s="1"/>
  <c r="N80" i="3"/>
  <c r="W80" i="3" s="1"/>
  <c r="N64" i="3"/>
  <c r="W64" i="3" s="1"/>
  <c r="N48" i="3"/>
  <c r="W48" i="3" s="1"/>
  <c r="N32" i="3"/>
  <c r="W32" i="3" s="1"/>
  <c r="N16" i="3"/>
  <c r="W16" i="3" s="1"/>
  <c r="N63" i="3"/>
  <c r="W63" i="3" s="1"/>
  <c r="N35" i="3"/>
  <c r="W35" i="3" s="1"/>
  <c r="N10" i="3"/>
  <c r="W10" i="3" s="1"/>
  <c r="N69" i="3"/>
  <c r="W69" i="3" s="1"/>
  <c r="N53" i="3"/>
  <c r="W53" i="3" s="1"/>
  <c r="N37" i="3"/>
  <c r="W37" i="3" s="1"/>
  <c r="N21" i="3"/>
  <c r="W21" i="3" s="1"/>
  <c r="N84" i="4"/>
  <c r="W84" i="4" s="1"/>
  <c r="E71" i="19"/>
  <c r="F71" i="19"/>
  <c r="N62" i="3"/>
  <c r="W62" i="3" s="1"/>
  <c r="N82" i="3"/>
  <c r="W82" i="3" s="1"/>
  <c r="N18" i="3"/>
  <c r="W18" i="3" s="1"/>
  <c r="N54" i="3"/>
  <c r="W54" i="3" s="1"/>
  <c r="N75" i="3"/>
  <c r="W75" i="3" s="1"/>
  <c r="N39" i="3"/>
  <c r="W39" i="3" s="1"/>
  <c r="N84" i="3"/>
  <c r="W84" i="3" s="1"/>
  <c r="N68" i="3"/>
  <c r="W68" i="3" s="1"/>
  <c r="N52" i="3"/>
  <c r="W52" i="3" s="1"/>
  <c r="N36" i="3"/>
  <c r="W36" i="3" s="1"/>
  <c r="N20" i="3"/>
  <c r="W20" i="3" s="1"/>
  <c r="N71" i="3"/>
  <c r="W71" i="3" s="1"/>
  <c r="N43" i="3"/>
  <c r="W43" i="3" s="1"/>
  <c r="N15" i="3"/>
  <c r="W15" i="3" s="1"/>
  <c r="N73" i="3"/>
  <c r="W73" i="3" s="1"/>
  <c r="N57" i="3"/>
  <c r="W57" i="3" s="1"/>
  <c r="N41" i="3"/>
  <c r="W41" i="3" s="1"/>
  <c r="N25" i="3"/>
  <c r="W25" i="3" s="1"/>
  <c r="N78" i="3"/>
  <c r="W78" i="3" s="1"/>
  <c r="N14" i="3"/>
  <c r="W14" i="3" s="1"/>
  <c r="N34" i="3"/>
  <c r="W34" i="3" s="1"/>
  <c r="N70" i="3"/>
  <c r="W70" i="3" s="1"/>
  <c r="N83" i="3"/>
  <c r="W83" i="3" s="1"/>
  <c r="N51" i="3"/>
  <c r="W51" i="3" s="1"/>
  <c r="N11" i="3"/>
  <c r="W11" i="3" s="1"/>
  <c r="N72" i="3"/>
  <c r="W72" i="3" s="1"/>
  <c r="N56" i="3"/>
  <c r="W56" i="3" s="1"/>
  <c r="N40" i="3"/>
  <c r="W40" i="3" s="1"/>
  <c r="N24" i="3"/>
  <c r="W24" i="3" s="1"/>
  <c r="N79" i="3"/>
  <c r="W79" i="3" s="1"/>
  <c r="N47" i="3"/>
  <c r="W47" i="3" s="1"/>
  <c r="N23" i="3"/>
  <c r="W23" i="3" s="1"/>
  <c r="N77" i="3"/>
  <c r="W77" i="3" s="1"/>
  <c r="N61" i="3"/>
  <c r="W61" i="3" s="1"/>
  <c r="N45" i="3"/>
  <c r="W45" i="3" s="1"/>
  <c r="N29" i="3"/>
  <c r="W29" i="3" s="1"/>
  <c r="N13" i="3"/>
  <c r="W13" i="3" s="1"/>
  <c r="R83" i="1"/>
  <c r="Q83" i="6" s="1"/>
  <c r="O84" i="4"/>
  <c r="X84" i="4" s="1"/>
  <c r="N11" i="4"/>
  <c r="W11" i="4" s="1"/>
  <c r="N15" i="4"/>
  <c r="W15" i="4" s="1"/>
  <c r="N19" i="4"/>
  <c r="W19" i="4" s="1"/>
  <c r="N23" i="4"/>
  <c r="W23" i="4" s="1"/>
  <c r="N27" i="4"/>
  <c r="W27" i="4" s="1"/>
  <c r="N31" i="4"/>
  <c r="W31" i="4" s="1"/>
  <c r="N35" i="4"/>
  <c r="W35" i="4" s="1"/>
  <c r="N39" i="4"/>
  <c r="W39" i="4" s="1"/>
  <c r="N43" i="4"/>
  <c r="W43" i="4" s="1"/>
  <c r="N47" i="4"/>
  <c r="W47" i="4" s="1"/>
  <c r="N51" i="4"/>
  <c r="W51" i="4" s="1"/>
  <c r="N55" i="4"/>
  <c r="W55" i="4" s="1"/>
  <c r="N59" i="4"/>
  <c r="W59" i="4" s="1"/>
  <c r="N63" i="4"/>
  <c r="W63" i="4" s="1"/>
  <c r="N67" i="4"/>
  <c r="W67" i="4" s="1"/>
  <c r="N71" i="4"/>
  <c r="W71" i="4" s="1"/>
  <c r="N75" i="4"/>
  <c r="W75" i="4" s="1"/>
  <c r="N79" i="4"/>
  <c r="W79" i="4" s="1"/>
  <c r="N83" i="4"/>
  <c r="W83" i="4" s="1"/>
  <c r="N17" i="4"/>
  <c r="W17" i="4" s="1"/>
  <c r="N21" i="4"/>
  <c r="W21" i="4" s="1"/>
  <c r="N29" i="4"/>
  <c r="W29" i="4" s="1"/>
  <c r="N37" i="4"/>
  <c r="W37" i="4" s="1"/>
  <c r="N53" i="4"/>
  <c r="W53" i="4" s="1"/>
  <c r="N61" i="4"/>
  <c r="W61" i="4" s="1"/>
  <c r="N69" i="4"/>
  <c r="W69" i="4" s="1"/>
  <c r="N77" i="4"/>
  <c r="W77" i="4" s="1"/>
  <c r="N81" i="4"/>
  <c r="W81" i="4" s="1"/>
  <c r="N12" i="4"/>
  <c r="W12" i="4" s="1"/>
  <c r="N20" i="4"/>
  <c r="W20" i="4" s="1"/>
  <c r="N24" i="4"/>
  <c r="W24" i="4" s="1"/>
  <c r="N32" i="4"/>
  <c r="W32" i="4" s="1"/>
  <c r="N40" i="4"/>
  <c r="W40" i="4" s="1"/>
  <c r="N48" i="4"/>
  <c r="W48" i="4" s="1"/>
  <c r="N56" i="4"/>
  <c r="W56" i="4" s="1"/>
  <c r="N64" i="4"/>
  <c r="W64" i="4" s="1"/>
  <c r="N72" i="4"/>
  <c r="W72" i="4" s="1"/>
  <c r="N14" i="4"/>
  <c r="W14" i="4" s="1"/>
  <c r="N18" i="4"/>
  <c r="W18" i="4" s="1"/>
  <c r="N22" i="4"/>
  <c r="W22" i="4" s="1"/>
  <c r="N26" i="4"/>
  <c r="W26" i="4" s="1"/>
  <c r="N30" i="4"/>
  <c r="W30" i="4" s="1"/>
  <c r="N34" i="4"/>
  <c r="W34" i="4" s="1"/>
  <c r="N38" i="4"/>
  <c r="W38" i="4" s="1"/>
  <c r="N42" i="4"/>
  <c r="W42" i="4" s="1"/>
  <c r="N46" i="4"/>
  <c r="W46" i="4" s="1"/>
  <c r="N50" i="4"/>
  <c r="W50" i="4" s="1"/>
  <c r="N54" i="4"/>
  <c r="W54" i="4" s="1"/>
  <c r="N58" i="4"/>
  <c r="W58" i="4" s="1"/>
  <c r="N62" i="4"/>
  <c r="W62" i="4" s="1"/>
  <c r="N66" i="4"/>
  <c r="W66" i="4" s="1"/>
  <c r="N70" i="4"/>
  <c r="W70" i="4" s="1"/>
  <c r="N74" i="4"/>
  <c r="W74" i="4" s="1"/>
  <c r="N78" i="4"/>
  <c r="W78" i="4" s="1"/>
  <c r="N82" i="4"/>
  <c r="W82" i="4" s="1"/>
  <c r="N13" i="4"/>
  <c r="W13" i="4" s="1"/>
  <c r="N25" i="4"/>
  <c r="W25" i="4" s="1"/>
  <c r="N33" i="4"/>
  <c r="W33" i="4" s="1"/>
  <c r="N41" i="4"/>
  <c r="W41" i="4" s="1"/>
  <c r="N45" i="4"/>
  <c r="W45" i="4" s="1"/>
  <c r="N49" i="4"/>
  <c r="W49" i="4" s="1"/>
  <c r="N57" i="4"/>
  <c r="W57" i="4" s="1"/>
  <c r="N65" i="4"/>
  <c r="W65" i="4" s="1"/>
  <c r="N73" i="4"/>
  <c r="W73" i="4" s="1"/>
  <c r="N16" i="4"/>
  <c r="W16" i="4" s="1"/>
  <c r="N28" i="4"/>
  <c r="W28" i="4" s="1"/>
  <c r="N36" i="4"/>
  <c r="W36" i="4" s="1"/>
  <c r="N44" i="4"/>
  <c r="W44" i="4" s="1"/>
  <c r="N52" i="4"/>
  <c r="W52" i="4" s="1"/>
  <c r="N60" i="4"/>
  <c r="W60" i="4" s="1"/>
  <c r="N68" i="4"/>
  <c r="W68" i="4" s="1"/>
  <c r="N76" i="4"/>
  <c r="W76" i="4" s="1"/>
  <c r="N80" i="4"/>
  <c r="W80" i="4" s="1"/>
  <c r="N10" i="4"/>
  <c r="W10" i="4" s="1"/>
  <c r="P83" i="9"/>
  <c r="F78" i="19"/>
  <c r="E78" i="19"/>
  <c r="O84" i="5"/>
  <c r="X84" i="5" s="1"/>
  <c r="V84" i="18" s="1"/>
  <c r="B21" i="19"/>
  <c r="B22" i="19" s="1"/>
  <c r="B78" i="19"/>
  <c r="B27" i="19"/>
  <c r="B28" i="19" s="1"/>
  <c r="B85" i="19"/>
  <c r="P8" i="18"/>
  <c r="F85" i="19"/>
  <c r="E85" i="19"/>
  <c r="K21" i="19"/>
  <c r="K22" i="19" s="1"/>
  <c r="O84" i="3"/>
  <c r="X84" i="3" s="1"/>
  <c r="B15" i="19"/>
  <c r="B16" i="19" s="1"/>
  <c r="B71" i="19"/>
  <c r="P8" i="7"/>
  <c r="I52" i="12"/>
  <c r="L52" i="12"/>
  <c r="E52" i="12"/>
  <c r="O34" i="17"/>
  <c r="M34" i="17"/>
  <c r="M33" i="17"/>
  <c r="O33" i="17"/>
  <c r="K52" i="12"/>
  <c r="N52" i="12"/>
  <c r="H52" i="12"/>
  <c r="F52" i="12"/>
  <c r="D52" i="12"/>
  <c r="C84" i="5"/>
  <c r="C84" i="18" s="1"/>
  <c r="U83" i="6"/>
  <c r="C83" i="4"/>
  <c r="C67" i="4"/>
  <c r="C67" i="9" s="1"/>
  <c r="J52" i="12"/>
  <c r="M52" i="12"/>
  <c r="G52" i="12"/>
  <c r="D54" i="12"/>
  <c r="H54" i="12"/>
  <c r="L54" i="12"/>
  <c r="G54" i="12"/>
  <c r="J54" i="12"/>
  <c r="N54" i="12"/>
  <c r="E54" i="12"/>
  <c r="I54" i="12"/>
  <c r="M54" i="12"/>
  <c r="K54" i="12"/>
  <c r="C54" i="2"/>
  <c r="F54" i="12"/>
  <c r="O83" i="3"/>
  <c r="X83" i="3" s="1"/>
  <c r="O83" i="4"/>
  <c r="X83" i="4" s="1"/>
  <c r="C83" i="3"/>
  <c r="O12" i="5"/>
  <c r="X12" i="5" s="1"/>
  <c r="V12" i="18" s="1"/>
  <c r="O16" i="5"/>
  <c r="X16" i="5" s="1"/>
  <c r="V16" i="18" s="1"/>
  <c r="O20" i="5"/>
  <c r="X20" i="5" s="1"/>
  <c r="V20" i="18" s="1"/>
  <c r="O24" i="5"/>
  <c r="X24" i="5" s="1"/>
  <c r="V24" i="18" s="1"/>
  <c r="O28" i="5"/>
  <c r="X28" i="5" s="1"/>
  <c r="V28" i="18" s="1"/>
  <c r="O32" i="5"/>
  <c r="X32" i="5" s="1"/>
  <c r="V32" i="18" s="1"/>
  <c r="O40" i="5"/>
  <c r="X40" i="5" s="1"/>
  <c r="V40" i="18" s="1"/>
  <c r="O44" i="5"/>
  <c r="X44" i="5" s="1"/>
  <c r="V44" i="18" s="1"/>
  <c r="O48" i="5"/>
  <c r="X48" i="5" s="1"/>
  <c r="V48" i="18" s="1"/>
  <c r="O52" i="5"/>
  <c r="X52" i="5" s="1"/>
  <c r="V52" i="18" s="1"/>
  <c r="O56" i="5"/>
  <c r="X56" i="5" s="1"/>
  <c r="V56" i="18" s="1"/>
  <c r="O60" i="5"/>
  <c r="X60" i="5" s="1"/>
  <c r="V60" i="18" s="1"/>
  <c r="O64" i="5"/>
  <c r="X64" i="5" s="1"/>
  <c r="V64" i="18" s="1"/>
  <c r="O68" i="5"/>
  <c r="X68" i="5" s="1"/>
  <c r="V68" i="18" s="1"/>
  <c r="O72" i="5"/>
  <c r="X72" i="5" s="1"/>
  <c r="V72" i="18" s="1"/>
  <c r="O76" i="5"/>
  <c r="X76" i="5" s="1"/>
  <c r="V76" i="18" s="1"/>
  <c r="O80" i="5"/>
  <c r="X80" i="5" s="1"/>
  <c r="V80" i="18" s="1"/>
  <c r="O10" i="5"/>
  <c r="X10" i="5" s="1"/>
  <c r="O14" i="5"/>
  <c r="X14" i="5" s="1"/>
  <c r="V14" i="18" s="1"/>
  <c r="O18" i="5"/>
  <c r="X18" i="5" s="1"/>
  <c r="V18" i="18" s="1"/>
  <c r="O22" i="5"/>
  <c r="X22" i="5" s="1"/>
  <c r="V22" i="18" s="1"/>
  <c r="O26" i="5"/>
  <c r="X26" i="5" s="1"/>
  <c r="V26" i="18" s="1"/>
  <c r="O30" i="5"/>
  <c r="X30" i="5" s="1"/>
  <c r="V30" i="18" s="1"/>
  <c r="O34" i="5"/>
  <c r="X34" i="5" s="1"/>
  <c r="V34" i="18" s="1"/>
  <c r="O38" i="5"/>
  <c r="X38" i="5" s="1"/>
  <c r="V38" i="18" s="1"/>
  <c r="O42" i="5"/>
  <c r="X42" i="5" s="1"/>
  <c r="V42" i="18" s="1"/>
  <c r="O46" i="5"/>
  <c r="X46" i="5" s="1"/>
  <c r="V46" i="18" s="1"/>
  <c r="O50" i="5"/>
  <c r="X50" i="5" s="1"/>
  <c r="V50" i="18" s="1"/>
  <c r="O54" i="5"/>
  <c r="X54" i="5" s="1"/>
  <c r="V54" i="18" s="1"/>
  <c r="O58" i="5"/>
  <c r="X58" i="5" s="1"/>
  <c r="V58" i="18" s="1"/>
  <c r="O62" i="5"/>
  <c r="X62" i="5" s="1"/>
  <c r="V62" i="18" s="1"/>
  <c r="O66" i="5"/>
  <c r="X66" i="5" s="1"/>
  <c r="V66" i="18" s="1"/>
  <c r="O70" i="5"/>
  <c r="X70" i="5" s="1"/>
  <c r="V70" i="18" s="1"/>
  <c r="O74" i="5"/>
  <c r="X74" i="5" s="1"/>
  <c r="V74" i="18" s="1"/>
  <c r="O78" i="5"/>
  <c r="X78" i="5" s="1"/>
  <c r="V78" i="18" s="1"/>
  <c r="O82" i="5"/>
  <c r="X82" i="5" s="1"/>
  <c r="V82" i="18" s="1"/>
  <c r="O13" i="5"/>
  <c r="X13" i="5" s="1"/>
  <c r="V13" i="18" s="1"/>
  <c r="O17" i="5"/>
  <c r="X17" i="5" s="1"/>
  <c r="V17" i="18" s="1"/>
  <c r="O21" i="5"/>
  <c r="X21" i="5" s="1"/>
  <c r="V21" i="18" s="1"/>
  <c r="O25" i="5"/>
  <c r="X25" i="5" s="1"/>
  <c r="V25" i="18" s="1"/>
  <c r="O29" i="5"/>
  <c r="X29" i="5" s="1"/>
  <c r="V29" i="18" s="1"/>
  <c r="O33" i="5"/>
  <c r="X33" i="5" s="1"/>
  <c r="V33" i="18" s="1"/>
  <c r="O37" i="5"/>
  <c r="X37" i="5" s="1"/>
  <c r="V37" i="18" s="1"/>
  <c r="O41" i="5"/>
  <c r="X41" i="5" s="1"/>
  <c r="V41" i="18" s="1"/>
  <c r="O45" i="5"/>
  <c r="X45" i="5" s="1"/>
  <c r="V45" i="18" s="1"/>
  <c r="O49" i="5"/>
  <c r="X49" i="5" s="1"/>
  <c r="V49" i="18" s="1"/>
  <c r="O53" i="5"/>
  <c r="X53" i="5" s="1"/>
  <c r="V53" i="18" s="1"/>
  <c r="O57" i="5"/>
  <c r="X57" i="5" s="1"/>
  <c r="V57" i="18" s="1"/>
  <c r="O61" i="5"/>
  <c r="X61" i="5" s="1"/>
  <c r="V61" i="18" s="1"/>
  <c r="O65" i="5"/>
  <c r="X65" i="5" s="1"/>
  <c r="V65" i="18" s="1"/>
  <c r="O69" i="5"/>
  <c r="X69" i="5" s="1"/>
  <c r="V69" i="18" s="1"/>
  <c r="O73" i="5"/>
  <c r="X73" i="5" s="1"/>
  <c r="V73" i="18" s="1"/>
  <c r="O77" i="5"/>
  <c r="X77" i="5" s="1"/>
  <c r="V77" i="18" s="1"/>
  <c r="O81" i="5"/>
  <c r="X81" i="5" s="1"/>
  <c r="V81" i="18" s="1"/>
  <c r="O11" i="5"/>
  <c r="X11" i="5" s="1"/>
  <c r="V11" i="18" s="1"/>
  <c r="O27" i="5"/>
  <c r="X27" i="5" s="1"/>
  <c r="V27" i="18" s="1"/>
  <c r="O43" i="5"/>
  <c r="X43" i="5" s="1"/>
  <c r="V43" i="18" s="1"/>
  <c r="O59" i="5"/>
  <c r="X59" i="5" s="1"/>
  <c r="V59" i="18" s="1"/>
  <c r="O75" i="5"/>
  <c r="X75" i="5" s="1"/>
  <c r="V75" i="18" s="1"/>
  <c r="O23" i="5"/>
  <c r="X23" i="5" s="1"/>
  <c r="V23" i="18" s="1"/>
  <c r="O39" i="5"/>
  <c r="X39" i="5" s="1"/>
  <c r="V39" i="18" s="1"/>
  <c r="O55" i="5"/>
  <c r="X55" i="5" s="1"/>
  <c r="V55" i="18" s="1"/>
  <c r="O71" i="5"/>
  <c r="X71" i="5" s="1"/>
  <c r="V71" i="18" s="1"/>
  <c r="O19" i="5"/>
  <c r="X19" i="5" s="1"/>
  <c r="V19" i="18" s="1"/>
  <c r="O35" i="5"/>
  <c r="X35" i="5" s="1"/>
  <c r="V35" i="18" s="1"/>
  <c r="O51" i="5"/>
  <c r="X51" i="5" s="1"/>
  <c r="V51" i="18" s="1"/>
  <c r="O67" i="5"/>
  <c r="X67" i="5" s="1"/>
  <c r="V67" i="18" s="1"/>
  <c r="O83" i="5"/>
  <c r="X83" i="5" s="1"/>
  <c r="V83" i="18" s="1"/>
  <c r="O15" i="5"/>
  <c r="X15" i="5" s="1"/>
  <c r="V15" i="18" s="1"/>
  <c r="O31" i="5"/>
  <c r="X31" i="5" s="1"/>
  <c r="V31" i="18" s="1"/>
  <c r="O47" i="5"/>
  <c r="X47" i="5" s="1"/>
  <c r="V47" i="18" s="1"/>
  <c r="O63" i="5"/>
  <c r="X63" i="5" s="1"/>
  <c r="V63" i="18" s="1"/>
  <c r="O79" i="5"/>
  <c r="X79" i="5" s="1"/>
  <c r="V79" i="18" s="1"/>
  <c r="P67" i="9"/>
  <c r="O7" i="17"/>
  <c r="O78" i="4"/>
  <c r="O29" i="4"/>
  <c r="C53" i="2"/>
  <c r="G53" i="12"/>
  <c r="K53" i="12"/>
  <c r="F53" i="12"/>
  <c r="J53" i="12"/>
  <c r="N53" i="12"/>
  <c r="E53" i="12"/>
  <c r="I53" i="12"/>
  <c r="M53" i="12"/>
  <c r="D53" i="12"/>
  <c r="H53" i="12"/>
  <c r="L53" i="12"/>
  <c r="O47" i="4"/>
  <c r="O80" i="4"/>
  <c r="O63" i="4"/>
  <c r="X63" i="4" s="1"/>
  <c r="C8" i="6"/>
  <c r="B95" i="19" s="1"/>
  <c r="B96" i="19" s="1"/>
  <c r="N81" i="1"/>
  <c r="C81" i="1"/>
  <c r="N82" i="1"/>
  <c r="C82" i="1"/>
  <c r="O8" i="6"/>
  <c r="N9" i="9"/>
  <c r="M88" i="17" s="1"/>
  <c r="O82" i="4"/>
  <c r="X82" i="4" s="1"/>
  <c r="O81" i="4"/>
  <c r="C81" i="4"/>
  <c r="C82" i="4"/>
  <c r="C83" i="5"/>
  <c r="C82" i="5"/>
  <c r="C82" i="18" s="1"/>
  <c r="O82" i="3"/>
  <c r="X82" i="3" s="1"/>
  <c r="O81" i="3"/>
  <c r="X81" i="3" s="1"/>
  <c r="C82" i="3"/>
  <c r="C81" i="3"/>
  <c r="M71" i="17"/>
  <c r="F21" i="14"/>
  <c r="O72" i="4"/>
  <c r="O51" i="4"/>
  <c r="O23" i="4"/>
  <c r="O43" i="4"/>
  <c r="O69" i="4"/>
  <c r="O59" i="4"/>
  <c r="O34" i="4"/>
  <c r="O75" i="4"/>
  <c r="X75" i="4" s="1"/>
  <c r="C68" i="4"/>
  <c r="O55" i="4"/>
  <c r="X55" i="4" s="1"/>
  <c r="O39" i="4"/>
  <c r="O15" i="4"/>
  <c r="C78" i="4"/>
  <c r="C72" i="4"/>
  <c r="O62" i="4"/>
  <c r="O54" i="4"/>
  <c r="O46" i="4"/>
  <c r="O38" i="4"/>
  <c r="O27" i="4"/>
  <c r="O13" i="4"/>
  <c r="C50" i="2"/>
  <c r="C80" i="4"/>
  <c r="O74" i="4"/>
  <c r="O66" i="4"/>
  <c r="O58" i="4"/>
  <c r="O50" i="4"/>
  <c r="O42" i="4"/>
  <c r="O33" i="4"/>
  <c r="O21" i="4"/>
  <c r="C79" i="4"/>
  <c r="C73" i="4"/>
  <c r="O70" i="4"/>
  <c r="O68" i="4"/>
  <c r="O67" i="4"/>
  <c r="X67" i="4" s="1"/>
  <c r="O64" i="4"/>
  <c r="O60" i="4"/>
  <c r="O52" i="4"/>
  <c r="O48" i="4"/>
  <c r="O44" i="4"/>
  <c r="O40" i="4"/>
  <c r="O35" i="4"/>
  <c r="O30" i="4"/>
  <c r="O25" i="4"/>
  <c r="O10" i="4"/>
  <c r="O79" i="4"/>
  <c r="O77" i="4"/>
  <c r="X77" i="4" s="1"/>
  <c r="O73" i="4"/>
  <c r="O71" i="4"/>
  <c r="O65" i="4"/>
  <c r="O61" i="4"/>
  <c r="O57" i="4"/>
  <c r="O53" i="4"/>
  <c r="O49" i="4"/>
  <c r="O45" i="4"/>
  <c r="O41" i="4"/>
  <c r="X41" i="4" s="1"/>
  <c r="O37" i="4"/>
  <c r="O31" i="4"/>
  <c r="O26" i="4"/>
  <c r="O19" i="4"/>
  <c r="O11" i="4"/>
  <c r="O76" i="4"/>
  <c r="O56" i="4"/>
  <c r="O17" i="4"/>
  <c r="O76" i="2"/>
  <c r="D51" i="12"/>
  <c r="M51" i="12"/>
  <c r="H51" i="12"/>
  <c r="I51" i="12"/>
  <c r="O67" i="6"/>
  <c r="S8" i="10"/>
  <c r="K51" i="12"/>
  <c r="E51" i="12"/>
  <c r="O68" i="6"/>
  <c r="G8" i="3"/>
  <c r="L7" i="11"/>
  <c r="B50" i="2"/>
  <c r="E49" i="12" s="1"/>
  <c r="L51" i="12"/>
  <c r="G51" i="12"/>
  <c r="C34" i="12"/>
  <c r="C35" i="12" s="1"/>
  <c r="C36" i="12" s="1"/>
  <c r="C37" i="12" s="1"/>
  <c r="C38" i="12" s="1"/>
  <c r="K50" i="12"/>
  <c r="D50" i="12"/>
  <c r="N51" i="12"/>
  <c r="J51" i="12"/>
  <c r="L50" i="12"/>
  <c r="H50" i="12"/>
  <c r="M50" i="12"/>
  <c r="I50" i="12"/>
  <c r="E50" i="12"/>
  <c r="N50" i="12"/>
  <c r="J50" i="12"/>
  <c r="F50" i="12"/>
  <c r="K9" i="5"/>
  <c r="I9" i="18"/>
  <c r="C8" i="18"/>
  <c r="C8" i="9"/>
  <c r="O22" i="4"/>
  <c r="O18" i="4"/>
  <c r="O14" i="4"/>
  <c r="P8" i="9"/>
  <c r="O36" i="4"/>
  <c r="O32" i="4"/>
  <c r="O28" i="4"/>
  <c r="O24" i="4"/>
  <c r="O20" i="4"/>
  <c r="O16" i="4"/>
  <c r="O12" i="4"/>
  <c r="G85" i="9"/>
  <c r="J8" i="3"/>
  <c r="C8" i="7"/>
  <c r="B101" i="19" s="1"/>
  <c r="N81" i="17"/>
  <c r="O49" i="17"/>
  <c r="N80" i="17"/>
  <c r="N79" i="17"/>
  <c r="O47" i="17"/>
  <c r="O50" i="17"/>
  <c r="O44" i="17"/>
  <c r="O48" i="17"/>
  <c r="O51" i="17"/>
  <c r="C9" i="14"/>
  <c r="O75" i="2"/>
  <c r="Q75" i="2" s="1"/>
  <c r="Q76" i="2"/>
  <c r="J76" i="11" s="1"/>
  <c r="D8" i="3"/>
  <c r="D87" i="3" s="1"/>
  <c r="D87" i="7" s="1"/>
  <c r="K8" i="3"/>
  <c r="E8" i="3"/>
  <c r="L8" i="3"/>
  <c r="H8" i="3"/>
  <c r="I8" i="3"/>
  <c r="L9" i="5"/>
  <c r="J9" i="5"/>
  <c r="C74" i="5"/>
  <c r="C74" i="18" s="1"/>
  <c r="C81" i="5"/>
  <c r="C81" i="18" s="1"/>
  <c r="C73" i="5"/>
  <c r="C73" i="18" s="1"/>
  <c r="C69" i="5"/>
  <c r="C69" i="18" s="1"/>
  <c r="C80" i="5"/>
  <c r="C80" i="18" s="1"/>
  <c r="C68" i="5"/>
  <c r="C68" i="18" s="1"/>
  <c r="C79" i="5"/>
  <c r="C79" i="18" s="1"/>
  <c r="C72" i="1"/>
  <c r="C67" i="1"/>
  <c r="C79" i="1"/>
  <c r="C68" i="1"/>
  <c r="C80" i="1"/>
  <c r="E8" i="1"/>
  <c r="C73" i="1"/>
  <c r="C78" i="1"/>
  <c r="O29" i="3"/>
  <c r="X29" i="3" s="1"/>
  <c r="O11" i="3"/>
  <c r="X11" i="3" s="1"/>
  <c r="O15" i="3"/>
  <c r="X15" i="3" s="1"/>
  <c r="O19" i="3"/>
  <c r="X19" i="3" s="1"/>
  <c r="O20" i="3"/>
  <c r="X20" i="3" s="1"/>
  <c r="O25" i="3"/>
  <c r="X25" i="3" s="1"/>
  <c r="O31" i="3"/>
  <c r="X31" i="3" s="1"/>
  <c r="O10" i="3"/>
  <c r="X10" i="3" s="1"/>
  <c r="O14" i="3"/>
  <c r="X14" i="3" s="1"/>
  <c r="O18" i="3"/>
  <c r="X18" i="3" s="1"/>
  <c r="O24" i="3"/>
  <c r="X24" i="3" s="1"/>
  <c r="O78" i="3"/>
  <c r="X78" i="3" s="1"/>
  <c r="C77" i="3"/>
  <c r="O74" i="3"/>
  <c r="X74" i="3" s="1"/>
  <c r="C73" i="3"/>
  <c r="O70" i="3"/>
  <c r="X70" i="3" s="1"/>
  <c r="O66" i="3"/>
  <c r="X66" i="3" s="1"/>
  <c r="O62" i="3"/>
  <c r="X62" i="3" s="1"/>
  <c r="O58" i="3"/>
  <c r="X58" i="3" s="1"/>
  <c r="O54" i="3"/>
  <c r="X54" i="3" s="1"/>
  <c r="O50" i="3"/>
  <c r="X50" i="3" s="1"/>
  <c r="O46" i="3"/>
  <c r="X46" i="3" s="1"/>
  <c r="O42" i="3"/>
  <c r="X42" i="3" s="1"/>
  <c r="O38" i="3"/>
  <c r="X38" i="3" s="1"/>
  <c r="O34" i="3"/>
  <c r="X34" i="3" s="1"/>
  <c r="O30" i="3"/>
  <c r="X30" i="3" s="1"/>
  <c r="O26" i="3"/>
  <c r="X26" i="3" s="1"/>
  <c r="O22" i="3"/>
  <c r="X22" i="3" s="1"/>
  <c r="O79" i="3"/>
  <c r="X79" i="3" s="1"/>
  <c r="C78" i="3"/>
  <c r="O75" i="3"/>
  <c r="X75" i="3" s="1"/>
  <c r="O71" i="3"/>
  <c r="X71" i="3" s="1"/>
  <c r="O67" i="3"/>
  <c r="X67" i="3" s="1"/>
  <c r="O63" i="3"/>
  <c r="X63" i="3" s="1"/>
  <c r="O59" i="3"/>
  <c r="X59" i="3" s="1"/>
  <c r="O55" i="3"/>
  <c r="X55" i="3" s="1"/>
  <c r="O51" i="3"/>
  <c r="X51" i="3" s="1"/>
  <c r="O47" i="3"/>
  <c r="X47" i="3" s="1"/>
  <c r="O43" i="3"/>
  <c r="X43" i="3" s="1"/>
  <c r="O39" i="3"/>
  <c r="X39" i="3" s="1"/>
  <c r="O35" i="3"/>
  <c r="X35" i="3" s="1"/>
  <c r="O80" i="3"/>
  <c r="X80" i="3" s="1"/>
  <c r="C79" i="3"/>
  <c r="O76" i="3"/>
  <c r="X76" i="3" s="1"/>
  <c r="O72" i="3"/>
  <c r="X72" i="3" s="1"/>
  <c r="O68" i="3"/>
  <c r="X68" i="3" s="1"/>
  <c r="C67" i="3"/>
  <c r="O64" i="3"/>
  <c r="X64" i="3" s="1"/>
  <c r="O60" i="3"/>
  <c r="X60" i="3" s="1"/>
  <c r="O56" i="3"/>
  <c r="X56" i="3" s="1"/>
  <c r="O52" i="3"/>
  <c r="X52" i="3" s="1"/>
  <c r="O48" i="3"/>
  <c r="X48" i="3" s="1"/>
  <c r="O44" i="3"/>
  <c r="X44" i="3" s="1"/>
  <c r="O40" i="3"/>
  <c r="X40" i="3" s="1"/>
  <c r="O36" i="3"/>
  <c r="X36" i="3" s="1"/>
  <c r="C80" i="3"/>
  <c r="O77" i="3"/>
  <c r="X77" i="3" s="1"/>
  <c r="O73" i="3"/>
  <c r="X73" i="3" s="1"/>
  <c r="C72" i="3"/>
  <c r="O69" i="3"/>
  <c r="X69" i="3" s="1"/>
  <c r="C68" i="3"/>
  <c r="O65" i="3"/>
  <c r="X65" i="3" s="1"/>
  <c r="O61" i="3"/>
  <c r="X61" i="3" s="1"/>
  <c r="O57" i="3"/>
  <c r="X57" i="3" s="1"/>
  <c r="O53" i="3"/>
  <c r="X53" i="3" s="1"/>
  <c r="O49" i="3"/>
  <c r="X49" i="3" s="1"/>
  <c r="O45" i="3"/>
  <c r="X45" i="3" s="1"/>
  <c r="O41" i="3"/>
  <c r="X41" i="3" s="1"/>
  <c r="O37" i="3"/>
  <c r="X37" i="3" s="1"/>
  <c r="O9" i="3"/>
  <c r="O13" i="3"/>
  <c r="X13" i="3" s="1"/>
  <c r="O17" i="3"/>
  <c r="X17" i="3" s="1"/>
  <c r="O23" i="3"/>
  <c r="X23" i="3" s="1"/>
  <c r="O28" i="3"/>
  <c r="X28" i="3" s="1"/>
  <c r="O33" i="3"/>
  <c r="X33" i="3" s="1"/>
  <c r="O12" i="3"/>
  <c r="X12" i="3" s="1"/>
  <c r="O16" i="3"/>
  <c r="X16" i="3" s="1"/>
  <c r="O21" i="3"/>
  <c r="X21" i="3" s="1"/>
  <c r="O27" i="3"/>
  <c r="X27" i="3" s="1"/>
  <c r="O32" i="3"/>
  <c r="X32" i="3" s="1"/>
  <c r="J8" i="1"/>
  <c r="N9" i="1"/>
  <c r="N76" i="1"/>
  <c r="N70" i="1"/>
  <c r="N65" i="1"/>
  <c r="N60" i="1"/>
  <c r="N54" i="1"/>
  <c r="N49" i="1"/>
  <c r="N44" i="1"/>
  <c r="N38" i="1"/>
  <c r="N33" i="1"/>
  <c r="N28" i="1"/>
  <c r="N22" i="1"/>
  <c r="N17" i="1"/>
  <c r="N12" i="1"/>
  <c r="K8" i="1"/>
  <c r="N10" i="1"/>
  <c r="N72" i="1"/>
  <c r="N66" i="1"/>
  <c r="N61" i="1"/>
  <c r="N56" i="1"/>
  <c r="N50" i="1"/>
  <c r="N45" i="1"/>
  <c r="N40" i="1"/>
  <c r="N34" i="1"/>
  <c r="N29" i="1"/>
  <c r="N24" i="1"/>
  <c r="N18" i="1"/>
  <c r="N13" i="1"/>
  <c r="N77" i="1"/>
  <c r="D8" i="1"/>
  <c r="G8" i="1"/>
  <c r="N78" i="1"/>
  <c r="N73" i="1"/>
  <c r="N68" i="1"/>
  <c r="N62" i="1"/>
  <c r="N57" i="1"/>
  <c r="N52" i="1"/>
  <c r="N46" i="1"/>
  <c r="N41" i="1"/>
  <c r="N36" i="1"/>
  <c r="N30" i="1"/>
  <c r="N25" i="1"/>
  <c r="N20" i="1"/>
  <c r="N14" i="1"/>
  <c r="N80" i="1"/>
  <c r="N74" i="1"/>
  <c r="N69" i="1"/>
  <c r="N64" i="1"/>
  <c r="N58" i="1"/>
  <c r="N53" i="1"/>
  <c r="N48" i="1"/>
  <c r="N42" i="1"/>
  <c r="N37" i="1"/>
  <c r="N32" i="1"/>
  <c r="N26" i="1"/>
  <c r="N21" i="1"/>
  <c r="N16" i="1"/>
  <c r="H8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I8" i="1"/>
  <c r="C51" i="2"/>
  <c r="P74" i="2"/>
  <c r="N85" i="7" l="1"/>
  <c r="O75" i="17"/>
  <c r="N11" i="17"/>
  <c r="H86" i="3"/>
  <c r="H86" i="7" s="1"/>
  <c r="H87" i="3"/>
  <c r="G86" i="1"/>
  <c r="H86" i="1" s="1"/>
  <c r="H86" i="6" s="1"/>
  <c r="G87" i="1"/>
  <c r="E86" i="3"/>
  <c r="E86" i="7" s="1"/>
  <c r="E87" i="3"/>
  <c r="E87" i="7" s="1"/>
  <c r="D86" i="1"/>
  <c r="D86" i="6" s="1"/>
  <c r="D87" i="1"/>
  <c r="G86" i="3"/>
  <c r="G86" i="7" s="1"/>
  <c r="G87" i="3"/>
  <c r="G87" i="7" s="1"/>
  <c r="V10" i="18"/>
  <c r="X87" i="3"/>
  <c r="N87" i="7"/>
  <c r="S88" i="5"/>
  <c r="R88" i="18" s="1"/>
  <c r="E86" i="1"/>
  <c r="E86" i="6" s="1"/>
  <c r="E87" i="1"/>
  <c r="E87" i="6" s="1"/>
  <c r="X81" i="4"/>
  <c r="J85" i="4"/>
  <c r="J85" i="9" s="1"/>
  <c r="R88" i="5"/>
  <c r="Q88" i="18" s="1"/>
  <c r="U88" i="5"/>
  <c r="T88" i="18" s="1"/>
  <c r="T88" i="5"/>
  <c r="S88" i="18" s="1"/>
  <c r="E87" i="5"/>
  <c r="E87" i="18" s="1"/>
  <c r="E88" i="5"/>
  <c r="E88" i="18" s="1"/>
  <c r="K88" i="5"/>
  <c r="K88" i="18" s="1"/>
  <c r="J88" i="5"/>
  <c r="J88" i="18" s="1"/>
  <c r="I88" i="5"/>
  <c r="I88" i="18" s="1"/>
  <c r="H88" i="18"/>
  <c r="L88" i="5"/>
  <c r="L88" i="18" s="1"/>
  <c r="G87" i="5"/>
  <c r="G87" i="18" s="1"/>
  <c r="G88" i="5"/>
  <c r="G88" i="18" s="1"/>
  <c r="K12" i="15"/>
  <c r="K22" i="15" s="1"/>
  <c r="C12" i="15"/>
  <c r="I12" i="15" s="1"/>
  <c r="N85" i="18"/>
  <c r="R72" i="3"/>
  <c r="K87" i="5"/>
  <c r="K87" i="18" s="1"/>
  <c r="J87" i="5"/>
  <c r="J87" i="18" s="1"/>
  <c r="I87" i="5"/>
  <c r="I87" i="18" s="1"/>
  <c r="H87" i="18"/>
  <c r="L87" i="5"/>
  <c r="L87" i="18" s="1"/>
  <c r="P87" i="18"/>
  <c r="N87" i="18"/>
  <c r="X87" i="5"/>
  <c r="P86" i="7"/>
  <c r="K86" i="3"/>
  <c r="K86" i="7" s="1"/>
  <c r="L86" i="3"/>
  <c r="L86" i="7" s="1"/>
  <c r="D85" i="3"/>
  <c r="D85" i="7" s="1"/>
  <c r="D86" i="3"/>
  <c r="D86" i="7" s="1"/>
  <c r="X86" i="3"/>
  <c r="N86" i="7"/>
  <c r="P76" i="1"/>
  <c r="V76" i="1" s="1"/>
  <c r="H76" i="4"/>
  <c r="Q76" i="4"/>
  <c r="P76" i="9" s="1"/>
  <c r="G76" i="4"/>
  <c r="E76" i="4"/>
  <c r="Q76" i="3"/>
  <c r="P76" i="7" s="1"/>
  <c r="J75" i="11"/>
  <c r="H77" i="5"/>
  <c r="Q77" i="5"/>
  <c r="P77" i="18" s="1"/>
  <c r="P77" i="1"/>
  <c r="V77" i="1" s="1"/>
  <c r="Q77" i="4"/>
  <c r="S77" i="4" s="1"/>
  <c r="R77" i="9" s="1"/>
  <c r="H77" i="4"/>
  <c r="G77" i="4"/>
  <c r="E77" i="4"/>
  <c r="Q77" i="3"/>
  <c r="P77" i="7" s="1"/>
  <c r="H78" i="5"/>
  <c r="Q78" i="5"/>
  <c r="P78" i="18" s="1"/>
  <c r="N86" i="18"/>
  <c r="E80" i="5"/>
  <c r="E83" i="5"/>
  <c r="E78" i="5"/>
  <c r="E86" i="5"/>
  <c r="E86" i="18" s="1"/>
  <c r="E81" i="5"/>
  <c r="E79" i="5"/>
  <c r="E85" i="5"/>
  <c r="E85" i="18" s="1"/>
  <c r="E84" i="5"/>
  <c r="E84" i="18" s="1"/>
  <c r="E82" i="5"/>
  <c r="E77" i="5"/>
  <c r="E74" i="5"/>
  <c r="E69" i="5"/>
  <c r="E73" i="5"/>
  <c r="E68" i="5"/>
  <c r="T8" i="10"/>
  <c r="G73" i="5"/>
  <c r="G73" i="18" s="1"/>
  <c r="G79" i="5"/>
  <c r="G79" i="18" s="1"/>
  <c r="G86" i="5"/>
  <c r="G86" i="18" s="1"/>
  <c r="G82" i="5"/>
  <c r="G82" i="18" s="1"/>
  <c r="G68" i="5"/>
  <c r="G68" i="18" s="1"/>
  <c r="G69" i="5"/>
  <c r="G69" i="18" s="1"/>
  <c r="G80" i="5"/>
  <c r="G80" i="18" s="1"/>
  <c r="G84" i="5"/>
  <c r="G84" i="18" s="1"/>
  <c r="G74" i="5"/>
  <c r="G74" i="18" s="1"/>
  <c r="G78" i="5"/>
  <c r="G78" i="18" s="1"/>
  <c r="G81" i="5"/>
  <c r="G81" i="18" s="1"/>
  <c r="G85" i="5"/>
  <c r="G85" i="18" s="1"/>
  <c r="G83" i="5"/>
  <c r="G83" i="18" s="1"/>
  <c r="G77" i="5"/>
  <c r="G77" i="18" s="1"/>
  <c r="M58" i="6"/>
  <c r="M17" i="6"/>
  <c r="E80" i="1"/>
  <c r="E84" i="1"/>
  <c r="E84" i="6" s="1"/>
  <c r="E76" i="1"/>
  <c r="E67" i="1"/>
  <c r="E82" i="1"/>
  <c r="E78" i="1"/>
  <c r="E72" i="1"/>
  <c r="E85" i="1"/>
  <c r="E85" i="6" s="1"/>
  <c r="E77" i="1"/>
  <c r="E79" i="1"/>
  <c r="E73" i="1"/>
  <c r="E81" i="1"/>
  <c r="E81" i="6" s="1"/>
  <c r="E68" i="1"/>
  <c r="E83" i="1"/>
  <c r="E83" i="6" s="1"/>
  <c r="H79" i="3"/>
  <c r="H83" i="3"/>
  <c r="H73" i="3"/>
  <c r="H78" i="3"/>
  <c r="H84" i="3"/>
  <c r="H84" i="7" s="1"/>
  <c r="H67" i="3"/>
  <c r="H80" i="3"/>
  <c r="H85" i="3"/>
  <c r="H85" i="7" s="1"/>
  <c r="H68" i="3"/>
  <c r="H76" i="3"/>
  <c r="H81" i="3"/>
  <c r="H82" i="3"/>
  <c r="H72" i="3"/>
  <c r="H77" i="3"/>
  <c r="G73" i="3"/>
  <c r="G77" i="3"/>
  <c r="G81" i="3"/>
  <c r="G81" i="7" s="1"/>
  <c r="G85" i="3"/>
  <c r="G85" i="7" s="1"/>
  <c r="G67" i="3"/>
  <c r="G78" i="3"/>
  <c r="G82" i="3"/>
  <c r="G82" i="7" s="1"/>
  <c r="G68" i="3"/>
  <c r="G79" i="3"/>
  <c r="G83" i="3"/>
  <c r="G83" i="7" s="1"/>
  <c r="G72" i="3"/>
  <c r="G80" i="3"/>
  <c r="G76" i="3"/>
  <c r="G84" i="3"/>
  <c r="G84" i="7" s="1"/>
  <c r="I67" i="10"/>
  <c r="I68" i="10"/>
  <c r="W68" i="10" s="1"/>
  <c r="M35" i="6"/>
  <c r="M74" i="6"/>
  <c r="M39" i="6"/>
  <c r="M55" i="6"/>
  <c r="M16" i="6"/>
  <c r="W80" i="1"/>
  <c r="V80" i="1"/>
  <c r="M52" i="6"/>
  <c r="M50" i="6"/>
  <c r="K15" i="19"/>
  <c r="K16" i="19" s="1"/>
  <c r="X9" i="3"/>
  <c r="M11" i="6"/>
  <c r="M27" i="6"/>
  <c r="M43" i="6"/>
  <c r="M59" i="6"/>
  <c r="M75" i="6"/>
  <c r="M21" i="6"/>
  <c r="M42" i="6"/>
  <c r="M64" i="6"/>
  <c r="M14" i="6"/>
  <c r="M36" i="6"/>
  <c r="M57" i="6"/>
  <c r="W78" i="1"/>
  <c r="V78" i="1"/>
  <c r="M13" i="6"/>
  <c r="M34" i="6"/>
  <c r="M56" i="6"/>
  <c r="M10" i="6"/>
  <c r="M22" i="6"/>
  <c r="M44" i="6"/>
  <c r="M65" i="6"/>
  <c r="W82" i="1"/>
  <c r="V82" i="1"/>
  <c r="M19" i="6"/>
  <c r="M51" i="6"/>
  <c r="M32" i="6"/>
  <c r="M46" i="6"/>
  <c r="M23" i="6"/>
  <c r="M71" i="6"/>
  <c r="M37" i="6"/>
  <c r="M30" i="6"/>
  <c r="W73" i="1"/>
  <c r="V73" i="1"/>
  <c r="M77" i="6"/>
  <c r="M29" i="6"/>
  <c r="W72" i="1"/>
  <c r="V72" i="1"/>
  <c r="M38" i="6"/>
  <c r="M60" i="6"/>
  <c r="M15" i="6"/>
  <c r="M31" i="6"/>
  <c r="M47" i="6"/>
  <c r="M63" i="6"/>
  <c r="W79" i="1"/>
  <c r="V79" i="1"/>
  <c r="M26" i="6"/>
  <c r="M48" i="6"/>
  <c r="M69" i="6"/>
  <c r="M20" i="6"/>
  <c r="M41" i="6"/>
  <c r="M62" i="6"/>
  <c r="G76" i="1"/>
  <c r="G80" i="1"/>
  <c r="G84" i="1"/>
  <c r="J84" i="1" s="1"/>
  <c r="J84" i="6" s="1"/>
  <c r="G67" i="1"/>
  <c r="G77" i="1"/>
  <c r="G78" i="1"/>
  <c r="G82" i="1"/>
  <c r="G73" i="1"/>
  <c r="G85" i="1"/>
  <c r="H85" i="1" s="1"/>
  <c r="H85" i="6" s="1"/>
  <c r="G68" i="1"/>
  <c r="G81" i="1"/>
  <c r="G83" i="1"/>
  <c r="G79" i="1"/>
  <c r="G72" i="1"/>
  <c r="M18" i="6"/>
  <c r="M40" i="6"/>
  <c r="M61" i="6"/>
  <c r="M28" i="6"/>
  <c r="M49" i="6"/>
  <c r="M70" i="6"/>
  <c r="E77" i="3"/>
  <c r="E81" i="3"/>
  <c r="E81" i="7" s="1"/>
  <c r="E85" i="3"/>
  <c r="E85" i="7" s="1"/>
  <c r="E67" i="3"/>
  <c r="E78" i="3"/>
  <c r="E82" i="3"/>
  <c r="E68" i="3"/>
  <c r="E72" i="3"/>
  <c r="E72" i="7" s="1"/>
  <c r="E79" i="3"/>
  <c r="E83" i="3"/>
  <c r="E83" i="7" s="1"/>
  <c r="E73" i="3"/>
  <c r="E80" i="3"/>
  <c r="E84" i="3"/>
  <c r="E84" i="7" s="1"/>
  <c r="E76" i="3"/>
  <c r="W67" i="1"/>
  <c r="V67" i="1"/>
  <c r="M53" i="6"/>
  <c r="M25" i="6"/>
  <c r="W68" i="1"/>
  <c r="V68" i="1"/>
  <c r="D85" i="1"/>
  <c r="C8" i="10"/>
  <c r="Q8" i="10" s="1"/>
  <c r="B8" i="10"/>
  <c r="M24" i="6"/>
  <c r="M45" i="6"/>
  <c r="M66" i="6"/>
  <c r="M12" i="6"/>
  <c r="M33" i="6"/>
  <c r="M54" i="6"/>
  <c r="M76" i="6"/>
  <c r="W76" i="1"/>
  <c r="J68" i="10"/>
  <c r="X68" i="10" s="1"/>
  <c r="J67" i="10"/>
  <c r="W81" i="1"/>
  <c r="V81" i="1"/>
  <c r="W86" i="5"/>
  <c r="N36" i="9"/>
  <c r="X36" i="4"/>
  <c r="N53" i="9"/>
  <c r="X53" i="4"/>
  <c r="V53" i="9" s="1"/>
  <c r="N40" i="9"/>
  <c r="X40" i="4"/>
  <c r="N60" i="9"/>
  <c r="X60" i="4"/>
  <c r="N66" i="9"/>
  <c r="X66" i="4"/>
  <c r="N54" i="9"/>
  <c r="X54" i="4"/>
  <c r="N43" i="9"/>
  <c r="X43" i="4"/>
  <c r="V43" i="9" s="1"/>
  <c r="N24" i="9"/>
  <c r="X24" i="4"/>
  <c r="V24" i="9" s="1"/>
  <c r="N22" i="9"/>
  <c r="X22" i="4"/>
  <c r="N17" i="9"/>
  <c r="X17" i="4"/>
  <c r="N19" i="9"/>
  <c r="X19" i="4"/>
  <c r="N57" i="9"/>
  <c r="X57" i="4"/>
  <c r="N73" i="9"/>
  <c r="X73" i="4"/>
  <c r="V73" i="9" s="1"/>
  <c r="N25" i="9"/>
  <c r="X25" i="4"/>
  <c r="V25" i="9" s="1"/>
  <c r="N44" i="9"/>
  <c r="X44" i="4"/>
  <c r="V44" i="9" s="1"/>
  <c r="N64" i="9"/>
  <c r="X64" i="4"/>
  <c r="N42" i="9"/>
  <c r="X42" i="4"/>
  <c r="V42" i="9" s="1"/>
  <c r="N74" i="9"/>
  <c r="X74" i="4"/>
  <c r="V74" i="9" s="1"/>
  <c r="N27" i="9"/>
  <c r="X27" i="4"/>
  <c r="N62" i="9"/>
  <c r="X62" i="4"/>
  <c r="V62" i="9" s="1"/>
  <c r="N39" i="9"/>
  <c r="X39" i="4"/>
  <c r="V39" i="9" s="1"/>
  <c r="N34" i="9"/>
  <c r="X34" i="4"/>
  <c r="V34" i="9" s="1"/>
  <c r="N23" i="9"/>
  <c r="X23" i="4"/>
  <c r="N80" i="9"/>
  <c r="X80" i="4"/>
  <c r="U80" i="4" s="1"/>
  <c r="N29" i="9"/>
  <c r="X29" i="4"/>
  <c r="N18" i="9"/>
  <c r="X18" i="4"/>
  <c r="V18" i="9" s="1"/>
  <c r="N11" i="9"/>
  <c r="X11" i="4"/>
  <c r="N10" i="9"/>
  <c r="X10" i="4"/>
  <c r="N70" i="9"/>
  <c r="X70" i="4"/>
  <c r="N13" i="9"/>
  <c r="X13" i="4"/>
  <c r="N15" i="9"/>
  <c r="X15" i="4"/>
  <c r="N12" i="9"/>
  <c r="X12" i="4"/>
  <c r="V12" i="9" s="1"/>
  <c r="N56" i="9"/>
  <c r="X56" i="4"/>
  <c r="N26" i="9"/>
  <c r="X26" i="4"/>
  <c r="V26" i="9" s="1"/>
  <c r="N45" i="9"/>
  <c r="X45" i="4"/>
  <c r="N61" i="9"/>
  <c r="X61" i="4"/>
  <c r="V61" i="9" s="1"/>
  <c r="N30" i="9"/>
  <c r="X30" i="4"/>
  <c r="V30" i="9" s="1"/>
  <c r="N48" i="9"/>
  <c r="X48" i="4"/>
  <c r="N50" i="9"/>
  <c r="X50" i="4"/>
  <c r="V50" i="9" s="1"/>
  <c r="N38" i="9"/>
  <c r="X38" i="4"/>
  <c r="V38" i="9" s="1"/>
  <c r="N59" i="9"/>
  <c r="X59" i="4"/>
  <c r="V59" i="9" s="1"/>
  <c r="N51" i="9"/>
  <c r="X51" i="4"/>
  <c r="N47" i="9"/>
  <c r="X47" i="4"/>
  <c r="V47" i="9" s="1"/>
  <c r="N78" i="9"/>
  <c r="X78" i="4"/>
  <c r="R78" i="4" s="1"/>
  <c r="N20" i="9"/>
  <c r="X20" i="4"/>
  <c r="V20" i="9" s="1"/>
  <c r="N37" i="9"/>
  <c r="X37" i="4"/>
  <c r="V37" i="9" s="1"/>
  <c r="N71" i="9"/>
  <c r="X71" i="4"/>
  <c r="V71" i="9" s="1"/>
  <c r="N33" i="9"/>
  <c r="X33" i="4"/>
  <c r="V33" i="9" s="1"/>
  <c r="N28" i="9"/>
  <c r="X28" i="4"/>
  <c r="V28" i="9" s="1"/>
  <c r="N16" i="9"/>
  <c r="X16" i="4"/>
  <c r="N32" i="9"/>
  <c r="X32" i="4"/>
  <c r="V32" i="9" s="1"/>
  <c r="N14" i="9"/>
  <c r="X14" i="4"/>
  <c r="V14" i="9" s="1"/>
  <c r="N76" i="9"/>
  <c r="X76" i="4"/>
  <c r="N31" i="9"/>
  <c r="X31" i="4"/>
  <c r="N49" i="9"/>
  <c r="X49" i="4"/>
  <c r="N65" i="9"/>
  <c r="X65" i="4"/>
  <c r="V65" i="9" s="1"/>
  <c r="N79" i="9"/>
  <c r="X79" i="4"/>
  <c r="V79" i="9" s="1"/>
  <c r="N35" i="9"/>
  <c r="X35" i="4"/>
  <c r="V35" i="9" s="1"/>
  <c r="N52" i="9"/>
  <c r="X52" i="4"/>
  <c r="N68" i="9"/>
  <c r="X68" i="4"/>
  <c r="N21" i="9"/>
  <c r="X21" i="4"/>
  <c r="N58" i="9"/>
  <c r="X58" i="4"/>
  <c r="V58" i="9" s="1"/>
  <c r="N46" i="9"/>
  <c r="X46" i="4"/>
  <c r="N69" i="9"/>
  <c r="X69" i="4"/>
  <c r="V69" i="9" s="1"/>
  <c r="N72" i="9"/>
  <c r="X72" i="4"/>
  <c r="U72" i="4" s="1"/>
  <c r="W85" i="3"/>
  <c r="U85" i="3" s="1"/>
  <c r="T85" i="7" s="1"/>
  <c r="H85" i="18"/>
  <c r="D84" i="4"/>
  <c r="D84" i="9" s="1"/>
  <c r="D85" i="4"/>
  <c r="D85" i="9" s="1"/>
  <c r="E84" i="9"/>
  <c r="E85" i="9"/>
  <c r="K85" i="4"/>
  <c r="K85" i="9" s="1"/>
  <c r="L85" i="4"/>
  <c r="L85" i="9" s="1"/>
  <c r="H85" i="9"/>
  <c r="I85" i="4"/>
  <c r="I85" i="9" s="1"/>
  <c r="D85" i="5"/>
  <c r="D85" i="18" s="1"/>
  <c r="D86" i="5"/>
  <c r="D86" i="18" s="1"/>
  <c r="P86" i="18"/>
  <c r="M73" i="6"/>
  <c r="M72" i="6"/>
  <c r="K11" i="19"/>
  <c r="K12" i="19" s="1"/>
  <c r="K9" i="19"/>
  <c r="K10" i="19" s="1"/>
  <c r="M78" i="6"/>
  <c r="C77" i="4"/>
  <c r="C77" i="9" s="1"/>
  <c r="M80" i="6"/>
  <c r="C76" i="1"/>
  <c r="M79" i="6"/>
  <c r="M67" i="6"/>
  <c r="M68" i="6"/>
  <c r="C77" i="1"/>
  <c r="P68" i="17"/>
  <c r="U81" i="3"/>
  <c r="T82" i="3"/>
  <c r="U83" i="3"/>
  <c r="N47" i="18"/>
  <c r="N67" i="18"/>
  <c r="N71" i="18"/>
  <c r="N75" i="18"/>
  <c r="N11" i="18"/>
  <c r="N69" i="18"/>
  <c r="N53" i="18"/>
  <c r="N37" i="18"/>
  <c r="N21" i="18"/>
  <c r="N78" i="18"/>
  <c r="N62" i="18"/>
  <c r="N46" i="18"/>
  <c r="N30" i="18"/>
  <c r="N14" i="18"/>
  <c r="N72" i="18"/>
  <c r="N56" i="18"/>
  <c r="N40" i="18"/>
  <c r="N24" i="18"/>
  <c r="T84" i="3"/>
  <c r="S84" i="7" s="1"/>
  <c r="N84" i="7"/>
  <c r="N63" i="18"/>
  <c r="N19" i="18"/>
  <c r="N23" i="18"/>
  <c r="N27" i="18"/>
  <c r="N73" i="18"/>
  <c r="N57" i="18"/>
  <c r="N41" i="18"/>
  <c r="N25" i="18"/>
  <c r="N82" i="18"/>
  <c r="U82" i="5"/>
  <c r="N66" i="18"/>
  <c r="N50" i="18"/>
  <c r="N34" i="18"/>
  <c r="N18" i="18"/>
  <c r="N76" i="18"/>
  <c r="N60" i="18"/>
  <c r="N44" i="18"/>
  <c r="N28" i="18"/>
  <c r="N12" i="18"/>
  <c r="P84" i="7"/>
  <c r="N84" i="18"/>
  <c r="J84" i="4"/>
  <c r="J84" i="9" s="1"/>
  <c r="N79" i="18"/>
  <c r="N15" i="18"/>
  <c r="N35" i="18"/>
  <c r="N39" i="18"/>
  <c r="N43" i="18"/>
  <c r="N77" i="18"/>
  <c r="N61" i="18"/>
  <c r="N45" i="18"/>
  <c r="N29" i="18"/>
  <c r="N13" i="18"/>
  <c r="N70" i="18"/>
  <c r="N54" i="18"/>
  <c r="N38" i="18"/>
  <c r="N22" i="18"/>
  <c r="N80" i="18"/>
  <c r="N64" i="18"/>
  <c r="N48" i="18"/>
  <c r="N32" i="18"/>
  <c r="N16" i="18"/>
  <c r="N31" i="18"/>
  <c r="N51" i="18"/>
  <c r="N55" i="18"/>
  <c r="N59" i="18"/>
  <c r="N81" i="18"/>
  <c r="U81" i="5"/>
  <c r="N65" i="18"/>
  <c r="N49" i="18"/>
  <c r="N33" i="18"/>
  <c r="N17" i="18"/>
  <c r="N74" i="18"/>
  <c r="R74" i="5"/>
  <c r="N58" i="18"/>
  <c r="N42" i="18"/>
  <c r="N26" i="18"/>
  <c r="N68" i="18"/>
  <c r="U68" i="5"/>
  <c r="N52" i="18"/>
  <c r="N36" i="18"/>
  <c r="N20" i="18"/>
  <c r="N84" i="9"/>
  <c r="T83" i="3"/>
  <c r="N46" i="7"/>
  <c r="N62" i="7"/>
  <c r="N18" i="7"/>
  <c r="N25" i="7"/>
  <c r="N11" i="7"/>
  <c r="N27" i="7"/>
  <c r="N33" i="7"/>
  <c r="N13" i="7"/>
  <c r="N45" i="7"/>
  <c r="N61" i="7"/>
  <c r="N36" i="7"/>
  <c r="N52" i="7"/>
  <c r="N43" i="7"/>
  <c r="N59" i="7"/>
  <c r="N75" i="7"/>
  <c r="N26" i="7"/>
  <c r="N42" i="7"/>
  <c r="N58" i="7"/>
  <c r="N24" i="7"/>
  <c r="N31" i="7"/>
  <c r="N15" i="7"/>
  <c r="B115" i="19"/>
  <c r="B116" i="19" s="1"/>
  <c r="F95" i="19"/>
  <c r="E95" i="19"/>
  <c r="E96" i="19" s="1"/>
  <c r="E115" i="19"/>
  <c r="E116" i="19" s="1"/>
  <c r="F115" i="19"/>
  <c r="F116" i="19" s="1"/>
  <c r="T81" i="3"/>
  <c r="S81" i="3"/>
  <c r="S83" i="3"/>
  <c r="S82" i="3"/>
  <c r="N21" i="7"/>
  <c r="K17" i="19"/>
  <c r="K18" i="19" s="1"/>
  <c r="N65" i="7"/>
  <c r="N40" i="7"/>
  <c r="N80" i="7"/>
  <c r="T80" i="3"/>
  <c r="N32" i="7"/>
  <c r="N12" i="7"/>
  <c r="N17" i="7"/>
  <c r="N41" i="7"/>
  <c r="N57" i="7"/>
  <c r="N69" i="7"/>
  <c r="N48" i="7"/>
  <c r="N64" i="7"/>
  <c r="N76" i="7"/>
  <c r="N39" i="7"/>
  <c r="N55" i="7"/>
  <c r="N71" i="7"/>
  <c r="N22" i="7"/>
  <c r="N38" i="7"/>
  <c r="N54" i="7"/>
  <c r="N70" i="7"/>
  <c r="N78" i="7"/>
  <c r="U78" i="3"/>
  <c r="N10" i="7"/>
  <c r="N19" i="7"/>
  <c r="B108" i="19"/>
  <c r="B109" i="19" s="1"/>
  <c r="E101" i="19"/>
  <c r="E102" i="19" s="1"/>
  <c r="F101" i="19"/>
  <c r="F102" i="19" s="1"/>
  <c r="R82" i="3"/>
  <c r="R81" i="3"/>
  <c r="R83" i="3"/>
  <c r="Q83" i="7" s="1"/>
  <c r="U82" i="3"/>
  <c r="N28" i="7"/>
  <c r="N49" i="7"/>
  <c r="N73" i="7"/>
  <c r="T73" i="3"/>
  <c r="N56" i="7"/>
  <c r="N68" i="7"/>
  <c r="R68" i="3"/>
  <c r="N47" i="7"/>
  <c r="N63" i="7"/>
  <c r="N30" i="7"/>
  <c r="N74" i="7"/>
  <c r="N16" i="7"/>
  <c r="N23" i="7"/>
  <c r="N37" i="7"/>
  <c r="N53" i="7"/>
  <c r="N77" i="7"/>
  <c r="N44" i="7"/>
  <c r="N60" i="7"/>
  <c r="N72" i="7"/>
  <c r="U72" i="3"/>
  <c r="N35" i="7"/>
  <c r="N51" i="7"/>
  <c r="N67" i="7"/>
  <c r="U67" i="3"/>
  <c r="N79" i="7"/>
  <c r="T79" i="3"/>
  <c r="N34" i="7"/>
  <c r="N50" i="7"/>
  <c r="N66" i="7"/>
  <c r="N14" i="7"/>
  <c r="N20" i="7"/>
  <c r="N29" i="7"/>
  <c r="E108" i="19"/>
  <c r="E109" i="19" s="1"/>
  <c r="F108" i="19"/>
  <c r="F109" i="19" s="1"/>
  <c r="M72" i="17"/>
  <c r="U67" i="4"/>
  <c r="T67" i="9" s="1"/>
  <c r="R67" i="4"/>
  <c r="Q67" i="9" s="1"/>
  <c r="T67" i="4"/>
  <c r="S67" i="9" s="1"/>
  <c r="S67" i="4"/>
  <c r="R67" i="9" s="1"/>
  <c r="P68" i="18"/>
  <c r="P69" i="18"/>
  <c r="J85" i="5"/>
  <c r="J85" i="18" s="1"/>
  <c r="G83" i="9"/>
  <c r="G84" i="9"/>
  <c r="H9" i="19"/>
  <c r="H10" i="19" s="1"/>
  <c r="E15" i="19"/>
  <c r="E16" i="19" s="1"/>
  <c r="F15" i="19"/>
  <c r="F16" i="19" s="1"/>
  <c r="C78" i="19"/>
  <c r="C21" i="19"/>
  <c r="C22" i="19" s="1"/>
  <c r="B43" i="19"/>
  <c r="B44" i="19" s="1"/>
  <c r="D84" i="1"/>
  <c r="C9" i="19"/>
  <c r="C10" i="19" s="1"/>
  <c r="C65" i="19"/>
  <c r="D71" i="19"/>
  <c r="D15" i="19"/>
  <c r="D16" i="19" s="1"/>
  <c r="E83" i="9"/>
  <c r="D78" i="19"/>
  <c r="D21" i="19"/>
  <c r="D22" i="19" s="1"/>
  <c r="G21" i="19"/>
  <c r="B49" i="19"/>
  <c r="B50" i="19" s="1"/>
  <c r="K49" i="19"/>
  <c r="K50" i="19" s="1"/>
  <c r="K29" i="19"/>
  <c r="K30" i="19" s="1"/>
  <c r="K27" i="19"/>
  <c r="K28" i="19" s="1"/>
  <c r="B79" i="19"/>
  <c r="E72" i="19"/>
  <c r="E79" i="19"/>
  <c r="E27" i="19"/>
  <c r="E28" i="19" s="1"/>
  <c r="F27" i="19"/>
  <c r="F28" i="19" s="1"/>
  <c r="D84" i="3"/>
  <c r="D84" i="7" s="1"/>
  <c r="C71" i="19"/>
  <c r="C15" i="19"/>
  <c r="C16" i="19" s="1"/>
  <c r="E21" i="19"/>
  <c r="E22" i="19" s="1"/>
  <c r="F21" i="19"/>
  <c r="F22" i="19" s="1"/>
  <c r="F86" i="19"/>
  <c r="F9" i="19"/>
  <c r="F10" i="19" s="1"/>
  <c r="E9" i="19"/>
  <c r="E10" i="19" s="1"/>
  <c r="J9" i="19"/>
  <c r="J10" i="19" s="1"/>
  <c r="I9" i="19"/>
  <c r="I10" i="19" s="1"/>
  <c r="D9" i="19"/>
  <c r="D10" i="19" s="1"/>
  <c r="D65" i="19"/>
  <c r="J15" i="19"/>
  <c r="J16" i="19" s="1"/>
  <c r="J21" i="19"/>
  <c r="J22" i="19" s="1"/>
  <c r="H21" i="19"/>
  <c r="H22" i="19" s="1"/>
  <c r="H15" i="19"/>
  <c r="H16" i="19" s="1"/>
  <c r="K78" i="19"/>
  <c r="K85" i="19"/>
  <c r="B102" i="19"/>
  <c r="B72" i="19"/>
  <c r="B86" i="19"/>
  <c r="K23" i="19"/>
  <c r="K24" i="19" s="1"/>
  <c r="B37" i="19"/>
  <c r="B38" i="19" s="1"/>
  <c r="F72" i="19"/>
  <c r="F79" i="19"/>
  <c r="G9" i="19"/>
  <c r="G10" i="19" s="1"/>
  <c r="C85" i="19"/>
  <c r="C27" i="19"/>
  <c r="C28" i="19" s="1"/>
  <c r="D85" i="19"/>
  <c r="D27" i="19"/>
  <c r="D28" i="19" s="1"/>
  <c r="G15" i="19"/>
  <c r="G16" i="19" s="1"/>
  <c r="I15" i="19"/>
  <c r="I16" i="19" s="1"/>
  <c r="I21" i="19"/>
  <c r="I22" i="19" s="1"/>
  <c r="B55" i="19"/>
  <c r="B56" i="19" s="1"/>
  <c r="E86" i="19"/>
  <c r="G22" i="15"/>
  <c r="C21" i="15"/>
  <c r="X8" i="10"/>
  <c r="N10" i="18"/>
  <c r="D84" i="5"/>
  <c r="D84" i="18" s="1"/>
  <c r="W8" i="10"/>
  <c r="U84" i="5"/>
  <c r="Y8" i="10"/>
  <c r="Y68" i="10"/>
  <c r="E8" i="6"/>
  <c r="D95" i="19" s="1"/>
  <c r="G8" i="6"/>
  <c r="D79" i="3"/>
  <c r="D79" i="7" s="1"/>
  <c r="D83" i="3"/>
  <c r="D83" i="7" s="1"/>
  <c r="P84" i="18"/>
  <c r="N83" i="9"/>
  <c r="T83" i="4"/>
  <c r="D83" i="1"/>
  <c r="D83" i="4"/>
  <c r="D83" i="9" s="1"/>
  <c r="C83" i="7"/>
  <c r="N83" i="7"/>
  <c r="P83" i="7"/>
  <c r="C83" i="9"/>
  <c r="C79" i="9"/>
  <c r="C72" i="9"/>
  <c r="C72" i="7"/>
  <c r="C67" i="7"/>
  <c r="C79" i="7"/>
  <c r="C73" i="7"/>
  <c r="C78" i="6"/>
  <c r="C80" i="6"/>
  <c r="C72" i="6"/>
  <c r="G67" i="9"/>
  <c r="C78" i="9"/>
  <c r="C68" i="9"/>
  <c r="C81" i="9"/>
  <c r="C81" i="6"/>
  <c r="C80" i="7"/>
  <c r="C67" i="6"/>
  <c r="C68" i="7"/>
  <c r="C77" i="7"/>
  <c r="C73" i="6"/>
  <c r="C79" i="6"/>
  <c r="R78" i="11"/>
  <c r="E81" i="9"/>
  <c r="C73" i="9"/>
  <c r="C78" i="7"/>
  <c r="C68" i="6"/>
  <c r="R67" i="11"/>
  <c r="C80" i="9"/>
  <c r="C81" i="7"/>
  <c r="N63" i="9"/>
  <c r="N55" i="9"/>
  <c r="M9" i="6"/>
  <c r="C78" i="5"/>
  <c r="C78" i="18" s="1"/>
  <c r="N83" i="18"/>
  <c r="N9" i="7"/>
  <c r="C82" i="7"/>
  <c r="C82" i="6"/>
  <c r="H8" i="6"/>
  <c r="C83" i="18"/>
  <c r="C82" i="9"/>
  <c r="N77" i="9"/>
  <c r="N67" i="9"/>
  <c r="N75" i="9"/>
  <c r="N41" i="9"/>
  <c r="K8" i="6"/>
  <c r="J8" i="6"/>
  <c r="I8" i="6"/>
  <c r="D8" i="6"/>
  <c r="C95" i="19" s="1"/>
  <c r="D82" i="4"/>
  <c r="D81" i="4"/>
  <c r="D81" i="9" s="1"/>
  <c r="N82" i="7"/>
  <c r="P78" i="7"/>
  <c r="P79" i="7"/>
  <c r="V81" i="7"/>
  <c r="N82" i="9"/>
  <c r="O72" i="6"/>
  <c r="O78" i="6"/>
  <c r="O73" i="6"/>
  <c r="O79" i="6"/>
  <c r="D81" i="1"/>
  <c r="D82" i="1"/>
  <c r="N81" i="7"/>
  <c r="P72" i="9"/>
  <c r="P78" i="9"/>
  <c r="P80" i="9"/>
  <c r="P73" i="9"/>
  <c r="P79" i="9"/>
  <c r="N81" i="9"/>
  <c r="M82" i="6"/>
  <c r="M81" i="6"/>
  <c r="D83" i="5"/>
  <c r="D82" i="5"/>
  <c r="D82" i="18" s="1"/>
  <c r="P74" i="18"/>
  <c r="P80" i="18"/>
  <c r="P73" i="18"/>
  <c r="P79" i="18"/>
  <c r="P81" i="18"/>
  <c r="D78" i="3"/>
  <c r="D78" i="7" s="1"/>
  <c r="D81" i="3"/>
  <c r="D81" i="7" s="1"/>
  <c r="D82" i="3"/>
  <c r="O80" i="6"/>
  <c r="C49" i="2"/>
  <c r="P68" i="9"/>
  <c r="I49" i="12"/>
  <c r="D80" i="3"/>
  <c r="D80" i="7" s="1"/>
  <c r="D68" i="3"/>
  <c r="D68" i="7" s="1"/>
  <c r="D73" i="3"/>
  <c r="K49" i="12"/>
  <c r="F49" i="12"/>
  <c r="L49" i="12"/>
  <c r="G49" i="12"/>
  <c r="M49" i="12"/>
  <c r="J49" i="12"/>
  <c r="H49" i="12"/>
  <c r="N49" i="12"/>
  <c r="D49" i="12"/>
  <c r="P75" i="2"/>
  <c r="B49" i="2"/>
  <c r="O74" i="2"/>
  <c r="B48" i="2"/>
  <c r="L9" i="18"/>
  <c r="K9" i="18"/>
  <c r="J9" i="18"/>
  <c r="V41" i="9"/>
  <c r="V9" i="9"/>
  <c r="V77" i="9"/>
  <c r="V55" i="9"/>
  <c r="V63" i="9"/>
  <c r="V67" i="9"/>
  <c r="V75" i="9"/>
  <c r="D67" i="3"/>
  <c r="D77" i="3"/>
  <c r="D77" i="7" s="1"/>
  <c r="J8" i="7"/>
  <c r="E8" i="7"/>
  <c r="D101" i="19" s="1"/>
  <c r="D8" i="7"/>
  <c r="C101" i="19" s="1"/>
  <c r="L8" i="7"/>
  <c r="H8" i="7"/>
  <c r="K8" i="7"/>
  <c r="G8" i="7"/>
  <c r="I8" i="7"/>
  <c r="D72" i="3"/>
  <c r="D72" i="7" s="1"/>
  <c r="O68" i="17"/>
  <c r="O25" i="17"/>
  <c r="C76" i="3"/>
  <c r="D76" i="3"/>
  <c r="D76" i="7" s="1"/>
  <c r="C76" i="4"/>
  <c r="C77" i="5"/>
  <c r="C77" i="18" s="1"/>
  <c r="D68" i="4"/>
  <c r="D68" i="9" s="1"/>
  <c r="D72" i="4"/>
  <c r="D72" i="9" s="1"/>
  <c r="D76" i="4"/>
  <c r="D76" i="9" s="1"/>
  <c r="D78" i="4"/>
  <c r="D78" i="9" s="1"/>
  <c r="D80" i="4"/>
  <c r="D80" i="9" s="1"/>
  <c r="D67" i="4"/>
  <c r="D67" i="9" s="1"/>
  <c r="D73" i="4"/>
  <c r="D77" i="4"/>
  <c r="D77" i="9" s="1"/>
  <c r="D79" i="4"/>
  <c r="D79" i="9" s="1"/>
  <c r="V68" i="7"/>
  <c r="D79" i="5"/>
  <c r="D79" i="18" s="1"/>
  <c r="D78" i="5"/>
  <c r="D78" i="18" s="1"/>
  <c r="D74" i="5"/>
  <c r="D81" i="5"/>
  <c r="D81" i="18" s="1"/>
  <c r="D77" i="5"/>
  <c r="D77" i="18" s="1"/>
  <c r="D73" i="5"/>
  <c r="D69" i="5"/>
  <c r="D80" i="5"/>
  <c r="D80" i="18" s="1"/>
  <c r="D68" i="5"/>
  <c r="D78" i="1"/>
  <c r="D80" i="1"/>
  <c r="D68" i="1"/>
  <c r="D73" i="1"/>
  <c r="D79" i="1"/>
  <c r="D67" i="1"/>
  <c r="D72" i="1"/>
  <c r="D77" i="1"/>
  <c r="D76" i="1"/>
  <c r="P72" i="7"/>
  <c r="P80" i="7"/>
  <c r="P73" i="7"/>
  <c r="G86" i="6" l="1"/>
  <c r="I86" i="1"/>
  <c r="I86" i="6" s="1"/>
  <c r="J86" i="1"/>
  <c r="J86" i="6" s="1"/>
  <c r="I86" i="3"/>
  <c r="I86" i="7" s="1"/>
  <c r="K86" i="1"/>
  <c r="K86" i="6" s="1"/>
  <c r="J86" i="3"/>
  <c r="J86" i="7" s="1"/>
  <c r="B86" i="10"/>
  <c r="P86" i="10" s="1"/>
  <c r="C86" i="10"/>
  <c r="Q86" i="10" s="1"/>
  <c r="I87" i="1"/>
  <c r="I87" i="6" s="1"/>
  <c r="J87" i="1"/>
  <c r="J87" i="6" s="1"/>
  <c r="K87" i="1"/>
  <c r="K87" i="6" s="1"/>
  <c r="G87" i="6"/>
  <c r="H87" i="1"/>
  <c r="H87" i="6" s="1"/>
  <c r="U87" i="5"/>
  <c r="T87" i="18" s="1"/>
  <c r="V87" i="18"/>
  <c r="K117" i="19" s="1"/>
  <c r="J87" i="3"/>
  <c r="J87" i="7" s="1"/>
  <c r="H87" i="7"/>
  <c r="I87" i="3"/>
  <c r="I87" i="7" s="1"/>
  <c r="L87" i="3"/>
  <c r="L87" i="7" s="1"/>
  <c r="K87" i="3"/>
  <c r="K87" i="7" s="1"/>
  <c r="V87" i="7"/>
  <c r="S87" i="3"/>
  <c r="R87" i="7" s="1"/>
  <c r="T87" i="3"/>
  <c r="S87" i="7" s="1"/>
  <c r="R87" i="3"/>
  <c r="Q87" i="7" s="1"/>
  <c r="U87" i="3"/>
  <c r="T87" i="7" s="1"/>
  <c r="K87" i="19"/>
  <c r="K88" i="19" s="1"/>
  <c r="K115" i="19"/>
  <c r="K116" i="19" s="1"/>
  <c r="D87" i="6"/>
  <c r="B87" i="10"/>
  <c r="P87" i="10" s="1"/>
  <c r="C87" i="10"/>
  <c r="Q87" i="10" s="1"/>
  <c r="K80" i="19"/>
  <c r="K81" i="19" s="1"/>
  <c r="C22" i="15"/>
  <c r="I22" i="15" s="1"/>
  <c r="F29" i="10"/>
  <c r="G29" i="10"/>
  <c r="F31" i="10"/>
  <c r="G31" i="10"/>
  <c r="F65" i="10"/>
  <c r="G65" i="10"/>
  <c r="G40" i="10"/>
  <c r="F40" i="10"/>
  <c r="F11" i="10"/>
  <c r="G11" i="10"/>
  <c r="F84" i="10"/>
  <c r="G84" i="10"/>
  <c r="F55" i="10"/>
  <c r="G55" i="10"/>
  <c r="F34" i="10"/>
  <c r="G34" i="10"/>
  <c r="F16" i="10"/>
  <c r="G16" i="10"/>
  <c r="F51" i="10"/>
  <c r="G51" i="10"/>
  <c r="F30" i="10"/>
  <c r="G30" i="10"/>
  <c r="G76" i="10"/>
  <c r="F76" i="10"/>
  <c r="F79" i="10"/>
  <c r="G79" i="10"/>
  <c r="F15" i="10"/>
  <c r="G15" i="10"/>
  <c r="G42" i="10"/>
  <c r="F42" i="10"/>
  <c r="F21" i="10"/>
  <c r="G21" i="10"/>
  <c r="G24" i="10"/>
  <c r="F24" i="10"/>
  <c r="F59" i="10"/>
  <c r="G59" i="10"/>
  <c r="F45" i="10"/>
  <c r="G45" i="10"/>
  <c r="F38" i="10"/>
  <c r="G38" i="10"/>
  <c r="G68" i="10"/>
  <c r="F68" i="10"/>
  <c r="F61" i="10"/>
  <c r="G61" i="10"/>
  <c r="F39" i="10"/>
  <c r="G39" i="10"/>
  <c r="F82" i="10"/>
  <c r="G82" i="10"/>
  <c r="G18" i="10"/>
  <c r="F18" i="10"/>
  <c r="G64" i="10"/>
  <c r="F64" i="10"/>
  <c r="F49" i="10"/>
  <c r="G49" i="10"/>
  <c r="F35" i="10"/>
  <c r="G35" i="10"/>
  <c r="F78" i="10"/>
  <c r="G78" i="10"/>
  <c r="G14" i="10"/>
  <c r="F14" i="10"/>
  <c r="F74" i="10"/>
  <c r="G74" i="10"/>
  <c r="G44" i="10"/>
  <c r="F44" i="10"/>
  <c r="F63" i="10"/>
  <c r="G63" i="10"/>
  <c r="F57" i="10"/>
  <c r="G57" i="10"/>
  <c r="G26" i="10"/>
  <c r="F26" i="10"/>
  <c r="L71" i="11"/>
  <c r="L72" i="11"/>
  <c r="F43" i="10"/>
  <c r="G43" i="10"/>
  <c r="F86" i="10"/>
  <c r="G86" i="10"/>
  <c r="F22" i="10"/>
  <c r="G22" i="10"/>
  <c r="G52" i="10"/>
  <c r="F52" i="10"/>
  <c r="F17" i="10"/>
  <c r="G17" i="10"/>
  <c r="F23" i="10"/>
  <c r="G23" i="10"/>
  <c r="F66" i="10"/>
  <c r="G66" i="10"/>
  <c r="F85" i="10"/>
  <c r="G85" i="10"/>
  <c r="G48" i="10"/>
  <c r="F48" i="10"/>
  <c r="G83" i="10"/>
  <c r="F83" i="10"/>
  <c r="F19" i="10"/>
  <c r="G19" i="10"/>
  <c r="F62" i="10"/>
  <c r="G62" i="10"/>
  <c r="G77" i="10"/>
  <c r="F77" i="10"/>
  <c r="F12" i="10"/>
  <c r="G12" i="10"/>
  <c r="G58" i="10"/>
  <c r="F58" i="10"/>
  <c r="F75" i="10"/>
  <c r="G75" i="10"/>
  <c r="F54" i="10"/>
  <c r="G54" i="10"/>
  <c r="F20" i="10"/>
  <c r="G20" i="10"/>
  <c r="F33" i="10"/>
  <c r="G33" i="10"/>
  <c r="G80" i="10"/>
  <c r="F80" i="10"/>
  <c r="F13" i="10"/>
  <c r="G13" i="10"/>
  <c r="G37" i="10"/>
  <c r="F37" i="10"/>
  <c r="R79" i="11"/>
  <c r="G28" i="10"/>
  <c r="F28" i="10"/>
  <c r="F47" i="10"/>
  <c r="G47" i="10"/>
  <c r="G9" i="10"/>
  <c r="F9" i="10"/>
  <c r="F10" i="10"/>
  <c r="G10" i="10"/>
  <c r="G56" i="10"/>
  <c r="F56" i="10"/>
  <c r="F25" i="10"/>
  <c r="G25" i="10"/>
  <c r="F27" i="10"/>
  <c r="G27" i="10"/>
  <c r="F70" i="10"/>
  <c r="G70" i="10"/>
  <c r="G53" i="10"/>
  <c r="F53" i="10"/>
  <c r="G36" i="10"/>
  <c r="F36" i="10"/>
  <c r="F71" i="10"/>
  <c r="G71" i="10"/>
  <c r="G81" i="10"/>
  <c r="F81" i="10"/>
  <c r="F50" i="10"/>
  <c r="G50" i="10"/>
  <c r="F41" i="10"/>
  <c r="G41" i="10"/>
  <c r="G32" i="10"/>
  <c r="F32" i="10"/>
  <c r="F67" i="10"/>
  <c r="G67" i="10"/>
  <c r="F69" i="10"/>
  <c r="G69" i="10"/>
  <c r="F46" i="10"/>
  <c r="G46" i="10"/>
  <c r="G60" i="10"/>
  <c r="F60" i="10"/>
  <c r="L85" i="11"/>
  <c r="D73" i="6"/>
  <c r="C73" i="10"/>
  <c r="Q73" i="10" s="1"/>
  <c r="B73" i="10"/>
  <c r="P73" i="10" s="1"/>
  <c r="D72" i="6"/>
  <c r="B72" i="10"/>
  <c r="P72" i="10" s="1"/>
  <c r="C72" i="10"/>
  <c r="Q72" i="10" s="1"/>
  <c r="D67" i="6"/>
  <c r="C67" i="10"/>
  <c r="Q67" i="10" s="1"/>
  <c r="B67" i="10"/>
  <c r="P67" i="10" s="1"/>
  <c r="D80" i="6"/>
  <c r="C80" i="10"/>
  <c r="B80" i="10"/>
  <c r="P80" i="10" s="1"/>
  <c r="C82" i="10"/>
  <c r="Q82" i="10" s="1"/>
  <c r="B82" i="10"/>
  <c r="P82" i="10" s="1"/>
  <c r="D68" i="6"/>
  <c r="B68" i="10"/>
  <c r="P68" i="10" s="1"/>
  <c r="C68" i="10"/>
  <c r="Q68" i="10" s="1"/>
  <c r="D76" i="6"/>
  <c r="C76" i="10"/>
  <c r="Q76" i="10" s="1"/>
  <c r="B76" i="10"/>
  <c r="P76" i="10" s="1"/>
  <c r="D79" i="6"/>
  <c r="B79" i="10"/>
  <c r="P79" i="10" s="1"/>
  <c r="C79" i="10"/>
  <c r="Q79" i="10" s="1"/>
  <c r="D78" i="6"/>
  <c r="B78" i="10"/>
  <c r="C78" i="10"/>
  <c r="Q78" i="10" s="1"/>
  <c r="C81" i="10"/>
  <c r="Q81" i="10" s="1"/>
  <c r="B81" i="10"/>
  <c r="P81" i="10" s="1"/>
  <c r="D84" i="6"/>
  <c r="B84" i="10"/>
  <c r="P84" i="10" s="1"/>
  <c r="C84" i="10"/>
  <c r="Q84" i="10" s="1"/>
  <c r="J85" i="1"/>
  <c r="J85" i="6" s="1"/>
  <c r="D77" i="6"/>
  <c r="C77" i="10"/>
  <c r="Q77" i="10" s="1"/>
  <c r="B77" i="10"/>
  <c r="P77" i="10" s="1"/>
  <c r="B83" i="10"/>
  <c r="P83" i="10" s="1"/>
  <c r="C83" i="10"/>
  <c r="Q83" i="10" s="1"/>
  <c r="C85" i="10"/>
  <c r="Q85" i="10" s="1"/>
  <c r="B85" i="10"/>
  <c r="P85" i="10" s="1"/>
  <c r="R85" i="11"/>
  <c r="G85" i="6"/>
  <c r="I85" i="1"/>
  <c r="I85" i="6" s="1"/>
  <c r="K85" i="1"/>
  <c r="K85" i="6" s="1"/>
  <c r="J85" i="3"/>
  <c r="J85" i="7" s="1"/>
  <c r="T87" i="5"/>
  <c r="S87" i="18" s="1"/>
  <c r="R87" i="5"/>
  <c r="Q87" i="18" s="1"/>
  <c r="S87" i="5"/>
  <c r="R87" i="18" s="1"/>
  <c r="T86" i="3"/>
  <c r="S86" i="7" s="1"/>
  <c r="V86" i="7"/>
  <c r="R86" i="3"/>
  <c r="Q86" i="7" s="1"/>
  <c r="K85" i="3"/>
  <c r="K85" i="7" s="1"/>
  <c r="R85" i="3"/>
  <c r="Q85" i="7" s="1"/>
  <c r="L85" i="3"/>
  <c r="L85" i="7" s="1"/>
  <c r="I85" i="3"/>
  <c r="I85" i="7" s="1"/>
  <c r="U86" i="3"/>
  <c r="T86" i="7" s="1"/>
  <c r="S86" i="3"/>
  <c r="R86" i="7" s="1"/>
  <c r="W77" i="1"/>
  <c r="T77" i="1" s="1"/>
  <c r="S77" i="6" s="1"/>
  <c r="C77" i="6"/>
  <c r="R76" i="4"/>
  <c r="Q76" i="9" s="1"/>
  <c r="C76" i="6"/>
  <c r="L83" i="11"/>
  <c r="R83" i="11"/>
  <c r="R84" i="11"/>
  <c r="L84" i="11"/>
  <c r="R82" i="11"/>
  <c r="L82" i="11"/>
  <c r="S85" i="3"/>
  <c r="R85" i="7" s="1"/>
  <c r="L76" i="11"/>
  <c r="R86" i="5"/>
  <c r="Q86" i="18" s="1"/>
  <c r="U86" i="5"/>
  <c r="T86" i="18" s="1"/>
  <c r="D85" i="6"/>
  <c r="S86" i="5"/>
  <c r="R86" i="18" s="1"/>
  <c r="T86" i="5"/>
  <c r="S86" i="18" s="1"/>
  <c r="T85" i="3"/>
  <c r="S85" i="7" s="1"/>
  <c r="O76" i="6"/>
  <c r="K85" i="5"/>
  <c r="K85" i="18" s="1"/>
  <c r="S84" i="3"/>
  <c r="R84" i="7" s="1"/>
  <c r="O77" i="6"/>
  <c r="L85" i="5"/>
  <c r="L85" i="18" s="1"/>
  <c r="U84" i="3"/>
  <c r="T84" i="7" s="1"/>
  <c r="R77" i="5"/>
  <c r="P77" i="9"/>
  <c r="I85" i="5"/>
  <c r="I85" i="18" s="1"/>
  <c r="I86" i="5"/>
  <c r="I86" i="18" s="1"/>
  <c r="K86" i="5"/>
  <c r="K86" i="18" s="1"/>
  <c r="J86" i="5"/>
  <c r="J86" i="18" s="1"/>
  <c r="H86" i="18"/>
  <c r="L86" i="5"/>
  <c r="L86" i="18" s="1"/>
  <c r="L75" i="11"/>
  <c r="T84" i="4"/>
  <c r="S84" i="9" s="1"/>
  <c r="U84" i="4"/>
  <c r="T84" i="9" s="1"/>
  <c r="I84" i="1"/>
  <c r="I84" i="6" s="1"/>
  <c r="R76" i="3"/>
  <c r="Q76" i="7" s="1"/>
  <c r="R78" i="5"/>
  <c r="T77" i="4"/>
  <c r="S77" i="9" s="1"/>
  <c r="U77" i="4"/>
  <c r="T77" i="9" s="1"/>
  <c r="R77" i="4"/>
  <c r="Q77" i="9" s="1"/>
  <c r="H84" i="9"/>
  <c r="L84" i="4"/>
  <c r="L84" i="9" s="1"/>
  <c r="I84" i="4"/>
  <c r="I84" i="9" s="1"/>
  <c r="K84" i="4"/>
  <c r="K84" i="9" s="1"/>
  <c r="R77" i="3"/>
  <c r="V67" i="7"/>
  <c r="R84" i="4"/>
  <c r="Q84" i="9" s="1"/>
  <c r="S84" i="4"/>
  <c r="R84" i="9" s="1"/>
  <c r="R80" i="3"/>
  <c r="T67" i="3"/>
  <c r="S67" i="7" s="1"/>
  <c r="U80" i="3"/>
  <c r="R84" i="3"/>
  <c r="Q84" i="7" s="1"/>
  <c r="V84" i="7"/>
  <c r="T68" i="3"/>
  <c r="S68" i="7" s="1"/>
  <c r="R73" i="3"/>
  <c r="K84" i="1"/>
  <c r="K84" i="6" s="1"/>
  <c r="G84" i="6"/>
  <c r="U68" i="3"/>
  <c r="T68" i="7" s="1"/>
  <c r="T77" i="3"/>
  <c r="U77" i="3"/>
  <c r="S79" i="3"/>
  <c r="T72" i="3"/>
  <c r="U73" i="3"/>
  <c r="V84" i="9"/>
  <c r="T82" i="4"/>
  <c r="U73" i="6"/>
  <c r="Q73" i="1"/>
  <c r="P73" i="6" s="1"/>
  <c r="S73" i="1"/>
  <c r="R73" i="6" s="1"/>
  <c r="R73" i="1"/>
  <c r="Q73" i="6" s="1"/>
  <c r="T73" i="1"/>
  <c r="S73" i="6" s="1"/>
  <c r="U68" i="6"/>
  <c r="T68" i="1"/>
  <c r="S68" i="6" s="1"/>
  <c r="Q68" i="1"/>
  <c r="P68" i="6" s="1"/>
  <c r="R68" i="1"/>
  <c r="Q68" i="6" s="1"/>
  <c r="S68" i="1"/>
  <c r="R68" i="6" s="1"/>
  <c r="C108" i="19"/>
  <c r="C109" i="19" s="1"/>
  <c r="T76" i="3"/>
  <c r="S76" i="7" s="1"/>
  <c r="T68" i="4"/>
  <c r="S68" i="9" s="1"/>
  <c r="T78" i="4"/>
  <c r="S78" i="9" s="1"/>
  <c r="R67" i="3"/>
  <c r="Q67" i="7" s="1"/>
  <c r="U76" i="3"/>
  <c r="T76" i="7" s="1"/>
  <c r="S72" i="3"/>
  <c r="S76" i="3"/>
  <c r="R76" i="7" s="1"/>
  <c r="S68" i="3"/>
  <c r="R68" i="7" s="1"/>
  <c r="S80" i="3"/>
  <c r="U72" i="6"/>
  <c r="S72" i="1"/>
  <c r="R72" i="6" s="1"/>
  <c r="T72" i="1"/>
  <c r="S72" i="6" s="1"/>
  <c r="R72" i="1"/>
  <c r="Q72" i="6" s="1"/>
  <c r="Q72" i="1"/>
  <c r="P72" i="6" s="1"/>
  <c r="D115" i="19"/>
  <c r="D116" i="19" s="1"/>
  <c r="D108" i="19"/>
  <c r="D109" i="19" s="1"/>
  <c r="U81" i="6"/>
  <c r="S81" i="1"/>
  <c r="R81" i="6" s="1"/>
  <c r="R81" i="1"/>
  <c r="Q81" i="6" s="1"/>
  <c r="T81" i="1"/>
  <c r="S81" i="6" s="1"/>
  <c r="Q81" i="1"/>
  <c r="P81" i="6" s="1"/>
  <c r="S78" i="3"/>
  <c r="V76" i="7"/>
  <c r="R83" i="4"/>
  <c r="Q83" i="9" s="1"/>
  <c r="R78" i="3"/>
  <c r="U79" i="3"/>
  <c r="R79" i="3"/>
  <c r="S73" i="3"/>
  <c r="S77" i="3"/>
  <c r="T78" i="3"/>
  <c r="U67" i="6"/>
  <c r="R67" i="1"/>
  <c r="Q67" i="6" s="1"/>
  <c r="S67" i="1"/>
  <c r="R67" i="6" s="1"/>
  <c r="Q67" i="1"/>
  <c r="P67" i="6" s="1"/>
  <c r="T67" i="1"/>
  <c r="S67" i="6" s="1"/>
  <c r="K71" i="19"/>
  <c r="K72" i="19" s="1"/>
  <c r="K73" i="19"/>
  <c r="K74" i="19" s="1"/>
  <c r="C115" i="19"/>
  <c r="C116" i="19" s="1"/>
  <c r="K108" i="19"/>
  <c r="K109" i="19" s="1"/>
  <c r="S80" i="4"/>
  <c r="R80" i="9" s="1"/>
  <c r="R82" i="4"/>
  <c r="S67" i="3"/>
  <c r="R67" i="7" s="1"/>
  <c r="U78" i="5"/>
  <c r="R81" i="4"/>
  <c r="Q81" i="9" s="1"/>
  <c r="R73" i="4"/>
  <c r="Q73" i="9" s="1"/>
  <c r="U83" i="4"/>
  <c r="T83" i="9" s="1"/>
  <c r="U82" i="4"/>
  <c r="U78" i="4"/>
  <c r="T78" i="9" s="1"/>
  <c r="T72" i="4"/>
  <c r="S72" i="9" s="1"/>
  <c r="U81" i="4"/>
  <c r="T81" i="9" s="1"/>
  <c r="U73" i="4"/>
  <c r="T73" i="9" s="1"/>
  <c r="U76" i="4"/>
  <c r="T76" i="9" s="1"/>
  <c r="R79" i="4"/>
  <c r="Q79" i="9" s="1"/>
  <c r="U79" i="4"/>
  <c r="T79" i="9" s="1"/>
  <c r="R80" i="4"/>
  <c r="Q80" i="9" s="1"/>
  <c r="R68" i="4"/>
  <c r="Q68" i="9" s="1"/>
  <c r="T81" i="4"/>
  <c r="S81" i="9" s="1"/>
  <c r="T73" i="4"/>
  <c r="S73" i="9" s="1"/>
  <c r="S72" i="4"/>
  <c r="R72" i="9" s="1"/>
  <c r="S68" i="4"/>
  <c r="R68" i="9" s="1"/>
  <c r="T76" i="4"/>
  <c r="S76" i="9" s="1"/>
  <c r="R72" i="4"/>
  <c r="Q72" i="9" s="1"/>
  <c r="T80" i="4"/>
  <c r="S80" i="9" s="1"/>
  <c r="U68" i="4"/>
  <c r="T68" i="9" s="1"/>
  <c r="S81" i="4"/>
  <c r="R81" i="9" s="1"/>
  <c r="S73" i="4"/>
  <c r="R73" i="9" s="1"/>
  <c r="S76" i="4"/>
  <c r="R76" i="9" s="1"/>
  <c r="S83" i="4"/>
  <c r="R83" i="9" s="1"/>
  <c r="S82" i="4"/>
  <c r="S79" i="4"/>
  <c r="R79" i="9" s="1"/>
  <c r="T79" i="4"/>
  <c r="S79" i="9" s="1"/>
  <c r="S78" i="4"/>
  <c r="R78" i="9" s="1"/>
  <c r="T69" i="5"/>
  <c r="S68" i="5"/>
  <c r="R79" i="5"/>
  <c r="Q79" i="18" s="1"/>
  <c r="R80" i="5"/>
  <c r="R82" i="5"/>
  <c r="S83" i="5"/>
  <c r="R73" i="5"/>
  <c r="T77" i="5"/>
  <c r="S77" i="18" s="1"/>
  <c r="R85" i="5"/>
  <c r="Q85" i="18" s="1"/>
  <c r="U85" i="5"/>
  <c r="T85" i="18" s="1"/>
  <c r="T85" i="5"/>
  <c r="S85" i="18" s="1"/>
  <c r="S85" i="5"/>
  <c r="R85" i="18" s="1"/>
  <c r="T84" i="5"/>
  <c r="S69" i="5"/>
  <c r="R83" i="5"/>
  <c r="R68" i="5"/>
  <c r="T79" i="5"/>
  <c r="S79" i="18" s="1"/>
  <c r="T73" i="5"/>
  <c r="T78" i="5"/>
  <c r="T80" i="5"/>
  <c r="T82" i="5"/>
  <c r="U74" i="5"/>
  <c r="S84" i="5"/>
  <c r="U77" i="5"/>
  <c r="S81" i="5"/>
  <c r="T74" i="5"/>
  <c r="T81" i="5"/>
  <c r="R69" i="5"/>
  <c r="T83" i="5"/>
  <c r="T68" i="5"/>
  <c r="S79" i="5"/>
  <c r="S73" i="5"/>
  <c r="S78" i="5"/>
  <c r="U80" i="5"/>
  <c r="S82" i="5"/>
  <c r="S74" i="5"/>
  <c r="R84" i="5"/>
  <c r="S77" i="5"/>
  <c r="R81" i="5"/>
  <c r="U69" i="5"/>
  <c r="U83" i="5"/>
  <c r="U79" i="5"/>
  <c r="T79" i="18" s="1"/>
  <c r="U73" i="5"/>
  <c r="S80" i="5"/>
  <c r="L82" i="5"/>
  <c r="K82" i="5"/>
  <c r="J82" i="5"/>
  <c r="I82" i="5"/>
  <c r="L83" i="5"/>
  <c r="K83" i="5"/>
  <c r="J83" i="5"/>
  <c r="I83" i="5"/>
  <c r="L69" i="5"/>
  <c r="L69" i="18" s="1"/>
  <c r="K69" i="5"/>
  <c r="K69" i="18" s="1"/>
  <c r="J69" i="5"/>
  <c r="J69" i="18" s="1"/>
  <c r="I69" i="5"/>
  <c r="I69" i="18" s="1"/>
  <c r="L81" i="5"/>
  <c r="K81" i="5"/>
  <c r="K81" i="18" s="1"/>
  <c r="J81" i="5"/>
  <c r="J81" i="18" s="1"/>
  <c r="I81" i="5"/>
  <c r="I81" i="18" s="1"/>
  <c r="L78" i="5"/>
  <c r="K78" i="5"/>
  <c r="J78" i="5"/>
  <c r="I78" i="5"/>
  <c r="L84" i="5"/>
  <c r="L84" i="18" s="1"/>
  <c r="K84" i="5"/>
  <c r="K84" i="18" s="1"/>
  <c r="J84" i="5"/>
  <c r="J84" i="18" s="1"/>
  <c r="I84" i="5"/>
  <c r="I84" i="18" s="1"/>
  <c r="L79" i="5"/>
  <c r="K79" i="5"/>
  <c r="K79" i="18" s="1"/>
  <c r="J79" i="5"/>
  <c r="J79" i="18" s="1"/>
  <c r="I79" i="5"/>
  <c r="L68" i="5"/>
  <c r="L68" i="18" s="1"/>
  <c r="K68" i="5"/>
  <c r="K68" i="18" s="1"/>
  <c r="J68" i="5"/>
  <c r="J68" i="18" s="1"/>
  <c r="I68" i="5"/>
  <c r="I68" i="18" s="1"/>
  <c r="L77" i="5"/>
  <c r="L77" i="18" s="1"/>
  <c r="K77" i="5"/>
  <c r="J77" i="5"/>
  <c r="I77" i="5"/>
  <c r="L74" i="5"/>
  <c r="L74" i="18" s="1"/>
  <c r="K74" i="5"/>
  <c r="K74" i="18" s="1"/>
  <c r="J74" i="5"/>
  <c r="J74" i="18" s="1"/>
  <c r="I74" i="5"/>
  <c r="L73" i="5"/>
  <c r="K73" i="5"/>
  <c r="K73" i="18" s="1"/>
  <c r="J73" i="5"/>
  <c r="I73" i="5"/>
  <c r="L80" i="5"/>
  <c r="L80" i="18" s="1"/>
  <c r="K80" i="5"/>
  <c r="K80" i="18" s="1"/>
  <c r="J80" i="5"/>
  <c r="I80" i="5"/>
  <c r="J72" i="4"/>
  <c r="L72" i="4"/>
  <c r="I72" i="4"/>
  <c r="K72" i="4"/>
  <c r="J80" i="4"/>
  <c r="I80" i="4"/>
  <c r="L80" i="4"/>
  <c r="K80" i="4"/>
  <c r="H81" i="9"/>
  <c r="J81" i="4"/>
  <c r="J81" i="9" s="1"/>
  <c r="L81" i="4"/>
  <c r="L81" i="9" s="1"/>
  <c r="I81" i="4"/>
  <c r="I81" i="9" s="1"/>
  <c r="K81" i="4"/>
  <c r="K81" i="9" s="1"/>
  <c r="J76" i="4"/>
  <c r="I76" i="4"/>
  <c r="L76" i="4"/>
  <c r="K76" i="4"/>
  <c r="J77" i="4"/>
  <c r="I77" i="4"/>
  <c r="K77" i="4"/>
  <c r="L77" i="4"/>
  <c r="J83" i="4"/>
  <c r="J83" i="9" s="1"/>
  <c r="I83" i="4"/>
  <c r="I83" i="9" s="1"/>
  <c r="L83" i="4"/>
  <c r="L83" i="9" s="1"/>
  <c r="K83" i="4"/>
  <c r="K83" i="9" s="1"/>
  <c r="J68" i="4"/>
  <c r="J68" i="9" s="1"/>
  <c r="I68" i="4"/>
  <c r="I68" i="9" s="1"/>
  <c r="L68" i="4"/>
  <c r="L68" i="9" s="1"/>
  <c r="K68" i="4"/>
  <c r="K68" i="9" s="1"/>
  <c r="J82" i="4"/>
  <c r="I82" i="4"/>
  <c r="K82" i="4"/>
  <c r="L82" i="4"/>
  <c r="J79" i="4"/>
  <c r="I79" i="4"/>
  <c r="K79" i="4"/>
  <c r="L79" i="4"/>
  <c r="J73" i="4"/>
  <c r="I73" i="4"/>
  <c r="L73" i="4"/>
  <c r="K73" i="4"/>
  <c r="J67" i="4"/>
  <c r="J67" i="9" s="1"/>
  <c r="L67" i="4"/>
  <c r="L67" i="9" s="1"/>
  <c r="I67" i="4"/>
  <c r="I67" i="9" s="1"/>
  <c r="K67" i="4"/>
  <c r="K67" i="9" s="1"/>
  <c r="J78" i="4"/>
  <c r="L78" i="4"/>
  <c r="I78" i="4"/>
  <c r="K78" i="4"/>
  <c r="L67" i="3"/>
  <c r="L67" i="7" s="1"/>
  <c r="K67" i="3"/>
  <c r="K67" i="7" s="1"/>
  <c r="I67" i="3"/>
  <c r="I67" i="7" s="1"/>
  <c r="J67" i="3"/>
  <c r="J67" i="7" s="1"/>
  <c r="L77" i="3"/>
  <c r="K77" i="3"/>
  <c r="J77" i="3"/>
  <c r="I77" i="3"/>
  <c r="L76" i="3"/>
  <c r="I76" i="3"/>
  <c r="K76" i="3"/>
  <c r="J76" i="3"/>
  <c r="L80" i="3"/>
  <c r="K80" i="3"/>
  <c r="J80" i="3"/>
  <c r="I80" i="3"/>
  <c r="L84" i="3"/>
  <c r="L84" i="7" s="1"/>
  <c r="K84" i="3"/>
  <c r="K84" i="7" s="1"/>
  <c r="I84" i="3"/>
  <c r="I84" i="7" s="1"/>
  <c r="J84" i="3"/>
  <c r="J84" i="7" s="1"/>
  <c r="L73" i="3"/>
  <c r="K73" i="3"/>
  <c r="I73" i="3"/>
  <c r="J73" i="3"/>
  <c r="L68" i="3"/>
  <c r="K68" i="3"/>
  <c r="J68" i="3"/>
  <c r="I68" i="3"/>
  <c r="L83" i="3"/>
  <c r="L83" i="7" s="1"/>
  <c r="K83" i="3"/>
  <c r="K83" i="7" s="1"/>
  <c r="J83" i="3"/>
  <c r="J83" i="7" s="1"/>
  <c r="I83" i="3"/>
  <c r="I83" i="7" s="1"/>
  <c r="L78" i="3"/>
  <c r="I78" i="3"/>
  <c r="K78" i="3"/>
  <c r="J78" i="3"/>
  <c r="L72" i="3"/>
  <c r="I72" i="3"/>
  <c r="K72" i="3"/>
  <c r="J72" i="3"/>
  <c r="L82" i="3"/>
  <c r="K82" i="3"/>
  <c r="I82" i="3"/>
  <c r="J82" i="3"/>
  <c r="L79" i="3"/>
  <c r="K79" i="3"/>
  <c r="I79" i="3"/>
  <c r="J79" i="3"/>
  <c r="L81" i="3"/>
  <c r="I81" i="3"/>
  <c r="K81" i="3"/>
  <c r="J81" i="3"/>
  <c r="H84" i="18"/>
  <c r="K51" i="19"/>
  <c r="K52" i="19" s="1"/>
  <c r="E43" i="19"/>
  <c r="E44" i="19" s="1"/>
  <c r="F43" i="19"/>
  <c r="F44" i="19" s="1"/>
  <c r="K39" i="19"/>
  <c r="K40" i="19" s="1"/>
  <c r="K37" i="19"/>
  <c r="K38" i="19" s="1"/>
  <c r="C86" i="19"/>
  <c r="D72" i="19"/>
  <c r="D102" i="19"/>
  <c r="I43" i="19"/>
  <c r="I44" i="19" s="1"/>
  <c r="E55" i="19"/>
  <c r="E56" i="19" s="1"/>
  <c r="F55" i="19"/>
  <c r="F56" i="19" s="1"/>
  <c r="I37" i="19"/>
  <c r="I38" i="19" s="1"/>
  <c r="I49" i="19"/>
  <c r="I50" i="19" s="1"/>
  <c r="D37" i="19"/>
  <c r="D38" i="19" s="1"/>
  <c r="C43" i="19"/>
  <c r="C44" i="19" s="1"/>
  <c r="D55" i="19"/>
  <c r="D56" i="19" s="1"/>
  <c r="C49" i="19"/>
  <c r="C50" i="19" s="1"/>
  <c r="G49" i="19"/>
  <c r="J49" i="19"/>
  <c r="J50" i="19" s="1"/>
  <c r="E37" i="19"/>
  <c r="E38" i="19" s="1"/>
  <c r="F37" i="19"/>
  <c r="F38" i="19" s="1"/>
  <c r="C102" i="19"/>
  <c r="C72" i="19"/>
  <c r="G22" i="19"/>
  <c r="C79" i="19"/>
  <c r="H84" i="1"/>
  <c r="H84" i="6" s="1"/>
  <c r="H43" i="19"/>
  <c r="H44" i="19" s="1"/>
  <c r="H37" i="19"/>
  <c r="H38" i="19" s="1"/>
  <c r="J37" i="19"/>
  <c r="J38" i="19" s="1"/>
  <c r="K43" i="19"/>
  <c r="K44" i="19" s="1"/>
  <c r="K45" i="19"/>
  <c r="K46" i="19" s="1"/>
  <c r="K57" i="19"/>
  <c r="K58" i="19" s="1"/>
  <c r="K55" i="19"/>
  <c r="K56" i="19" s="1"/>
  <c r="K86" i="19"/>
  <c r="D43" i="19"/>
  <c r="D44" i="19" s="1"/>
  <c r="E49" i="19"/>
  <c r="E50" i="19" s="1"/>
  <c r="F49" i="19"/>
  <c r="F50" i="19" s="1"/>
  <c r="C37" i="19"/>
  <c r="C38" i="19" s="1"/>
  <c r="D86" i="19"/>
  <c r="K79" i="19"/>
  <c r="D66" i="19"/>
  <c r="D96" i="19"/>
  <c r="C96" i="19"/>
  <c r="C66" i="19"/>
  <c r="G43" i="19"/>
  <c r="G44" i="19" s="1"/>
  <c r="J43" i="19"/>
  <c r="J44" i="19" s="1"/>
  <c r="C55" i="19"/>
  <c r="C56" i="19" s="1"/>
  <c r="D49" i="19"/>
  <c r="D50" i="19" s="1"/>
  <c r="H49" i="19"/>
  <c r="H50" i="19" s="1"/>
  <c r="G37" i="19"/>
  <c r="G38" i="19" s="1"/>
  <c r="D79" i="19"/>
  <c r="H83" i="9"/>
  <c r="G81" i="6"/>
  <c r="I81" i="1"/>
  <c r="I81" i="6" s="1"/>
  <c r="H81" i="1"/>
  <c r="H81" i="6" s="1"/>
  <c r="K81" i="1"/>
  <c r="K81" i="6" s="1"/>
  <c r="J81" i="1"/>
  <c r="J81" i="6" s="1"/>
  <c r="I76" i="1"/>
  <c r="H76" i="1"/>
  <c r="K76" i="1"/>
  <c r="J76" i="1"/>
  <c r="I67" i="1"/>
  <c r="H67" i="1"/>
  <c r="K67" i="1"/>
  <c r="J67" i="1"/>
  <c r="I80" i="1"/>
  <c r="H80" i="1"/>
  <c r="K80" i="1"/>
  <c r="J80" i="1"/>
  <c r="I73" i="1"/>
  <c r="H73" i="1"/>
  <c r="K73" i="1"/>
  <c r="J73" i="1"/>
  <c r="I72" i="1"/>
  <c r="H72" i="1"/>
  <c r="K72" i="1"/>
  <c r="J72" i="1"/>
  <c r="I78" i="1"/>
  <c r="H78" i="1"/>
  <c r="J78" i="1"/>
  <c r="K78" i="1"/>
  <c r="I77" i="1"/>
  <c r="H77" i="1"/>
  <c r="K77" i="1"/>
  <c r="J77" i="1"/>
  <c r="I83" i="1"/>
  <c r="I83" i="6" s="1"/>
  <c r="H83" i="1"/>
  <c r="H83" i="6" s="1"/>
  <c r="K83" i="1"/>
  <c r="K83" i="6" s="1"/>
  <c r="J83" i="1"/>
  <c r="J83" i="6" s="1"/>
  <c r="I68" i="1"/>
  <c r="H68" i="1"/>
  <c r="K68" i="1"/>
  <c r="J68" i="1"/>
  <c r="I79" i="1"/>
  <c r="H79" i="1"/>
  <c r="K79" i="1"/>
  <c r="J79" i="1"/>
  <c r="G82" i="6"/>
  <c r="I82" i="1"/>
  <c r="I82" i="6" s="1"/>
  <c r="H82" i="1"/>
  <c r="H82" i="6" s="1"/>
  <c r="K82" i="1"/>
  <c r="K82" i="6" s="1"/>
  <c r="J82" i="1"/>
  <c r="J82" i="6" s="1"/>
  <c r="H83" i="7"/>
  <c r="L79" i="11"/>
  <c r="V29" i="9"/>
  <c r="V13" i="9"/>
  <c r="V40" i="9"/>
  <c r="L78" i="11"/>
  <c r="V15" i="9"/>
  <c r="T80" i="9"/>
  <c r="Q78" i="9"/>
  <c r="V80" i="9"/>
  <c r="V78" i="9"/>
  <c r="R77" i="11"/>
  <c r="R66" i="11"/>
  <c r="V51" i="9"/>
  <c r="L67" i="11"/>
  <c r="V11" i="9"/>
  <c r="V66" i="9"/>
  <c r="L66" i="11"/>
  <c r="T83" i="7"/>
  <c r="V83" i="7"/>
  <c r="D83" i="6"/>
  <c r="G83" i="6"/>
  <c r="V36" i="9"/>
  <c r="V70" i="9"/>
  <c r="L77" i="11"/>
  <c r="S83" i="7"/>
  <c r="V83" i="9"/>
  <c r="S83" i="9"/>
  <c r="R83" i="7"/>
  <c r="E67" i="7"/>
  <c r="E82" i="7"/>
  <c r="C76" i="7"/>
  <c r="C76" i="9"/>
  <c r="V54" i="9"/>
  <c r="V76" i="9"/>
  <c r="V31" i="9"/>
  <c r="V48" i="9"/>
  <c r="V27" i="9"/>
  <c r="V19" i="9"/>
  <c r="V10" i="9"/>
  <c r="V23" i="9"/>
  <c r="V45" i="9"/>
  <c r="V52" i="9"/>
  <c r="V72" i="9"/>
  <c r="V16" i="9"/>
  <c r="V60" i="9"/>
  <c r="D82" i="9"/>
  <c r="V46" i="9"/>
  <c r="E82" i="18"/>
  <c r="D82" i="7"/>
  <c r="V68" i="9"/>
  <c r="E83" i="18"/>
  <c r="D83" i="18"/>
  <c r="E82" i="9"/>
  <c r="E82" i="6"/>
  <c r="R76" i="11"/>
  <c r="V64" i="9"/>
  <c r="E79" i="18"/>
  <c r="V57" i="9"/>
  <c r="V49" i="9"/>
  <c r="V17" i="9"/>
  <c r="V22" i="9"/>
  <c r="V56" i="9"/>
  <c r="H69" i="18"/>
  <c r="H68" i="18"/>
  <c r="H82" i="9"/>
  <c r="L80" i="11"/>
  <c r="R80" i="11"/>
  <c r="R81" i="11"/>
  <c r="L81" i="11"/>
  <c r="E68" i="7"/>
  <c r="R72" i="11"/>
  <c r="T72" i="9"/>
  <c r="R71" i="11"/>
  <c r="V21" i="9"/>
  <c r="D81" i="6"/>
  <c r="D82" i="6"/>
  <c r="D73" i="9"/>
  <c r="P82" i="18"/>
  <c r="V81" i="9"/>
  <c r="P82" i="9"/>
  <c r="O81" i="6"/>
  <c r="Q81" i="7"/>
  <c r="S81" i="7"/>
  <c r="P81" i="7"/>
  <c r="R81" i="7"/>
  <c r="T81" i="7"/>
  <c r="G73" i="9"/>
  <c r="G77" i="9"/>
  <c r="G79" i="9"/>
  <c r="G81" i="9"/>
  <c r="G76" i="9"/>
  <c r="G78" i="9"/>
  <c r="G82" i="9"/>
  <c r="P83" i="18"/>
  <c r="P81" i="9"/>
  <c r="O82" i="6"/>
  <c r="V82" i="9"/>
  <c r="P82" i="7"/>
  <c r="H77" i="7"/>
  <c r="H79" i="7"/>
  <c r="H72" i="7"/>
  <c r="H76" i="7"/>
  <c r="H80" i="7"/>
  <c r="D73" i="7"/>
  <c r="R75" i="11"/>
  <c r="T67" i="7"/>
  <c r="E77" i="7"/>
  <c r="F47" i="12"/>
  <c r="E47" i="12"/>
  <c r="K47" i="12"/>
  <c r="D47" i="12"/>
  <c r="I47" i="12"/>
  <c r="H47" i="12"/>
  <c r="M47" i="12"/>
  <c r="G47" i="12"/>
  <c r="L47" i="12"/>
  <c r="C47" i="2"/>
  <c r="J47" i="12"/>
  <c r="N47" i="12"/>
  <c r="E79" i="7"/>
  <c r="Q68" i="7"/>
  <c r="P8" i="10"/>
  <c r="R7" i="11"/>
  <c r="G48" i="12"/>
  <c r="H48" i="12"/>
  <c r="E48" i="12"/>
  <c r="L48" i="12"/>
  <c r="I48" i="12"/>
  <c r="F48" i="12"/>
  <c r="C48" i="2"/>
  <c r="M48" i="12"/>
  <c r="J48" i="12"/>
  <c r="K48" i="12"/>
  <c r="D48" i="12"/>
  <c r="N48" i="12"/>
  <c r="B47" i="2"/>
  <c r="Q74" i="2"/>
  <c r="P73" i="2"/>
  <c r="O73" i="2"/>
  <c r="E68" i="18"/>
  <c r="D68" i="18"/>
  <c r="E69" i="18"/>
  <c r="D69" i="18"/>
  <c r="E74" i="18"/>
  <c r="D74" i="18"/>
  <c r="E73" i="18"/>
  <c r="D73" i="18"/>
  <c r="H68" i="9"/>
  <c r="G68" i="9"/>
  <c r="G80" i="9"/>
  <c r="G72" i="9"/>
  <c r="H67" i="9"/>
  <c r="G68" i="7"/>
  <c r="G76" i="7"/>
  <c r="G80" i="7"/>
  <c r="G73" i="7"/>
  <c r="G79" i="7"/>
  <c r="G72" i="7"/>
  <c r="G77" i="7"/>
  <c r="G78" i="7"/>
  <c r="G67" i="7"/>
  <c r="D67" i="7"/>
  <c r="H67" i="7"/>
  <c r="E80" i="7"/>
  <c r="V77" i="7"/>
  <c r="V75" i="7"/>
  <c r="V70" i="7"/>
  <c r="V80" i="7"/>
  <c r="Q80" i="10"/>
  <c r="X67" i="10"/>
  <c r="P78" i="10"/>
  <c r="E67" i="9"/>
  <c r="E68" i="9"/>
  <c r="E73" i="9"/>
  <c r="E72" i="9"/>
  <c r="H78" i="7"/>
  <c r="V74" i="7"/>
  <c r="V72" i="7"/>
  <c r="V78" i="7"/>
  <c r="V79" i="7"/>
  <c r="V73" i="7"/>
  <c r="V71" i="7"/>
  <c r="E73" i="6"/>
  <c r="E72" i="6"/>
  <c r="H73" i="7"/>
  <c r="E77" i="18"/>
  <c r="H68" i="7"/>
  <c r="E68" i="6"/>
  <c r="G68" i="6"/>
  <c r="E67" i="6"/>
  <c r="G67" i="6"/>
  <c r="K110" i="19" l="1"/>
  <c r="R77" i="1"/>
  <c r="Q77" i="6" s="1"/>
  <c r="U83" i="10"/>
  <c r="T83" i="10"/>
  <c r="G72" i="10"/>
  <c r="F72" i="10"/>
  <c r="U77" i="10"/>
  <c r="T77" i="10"/>
  <c r="T84" i="10"/>
  <c r="U84" i="10"/>
  <c r="U72" i="10"/>
  <c r="T72" i="10"/>
  <c r="T82" i="10"/>
  <c r="U82" i="10"/>
  <c r="U79" i="10"/>
  <c r="T79" i="10"/>
  <c r="T68" i="10"/>
  <c r="U68" i="10"/>
  <c r="T85" i="10"/>
  <c r="U85" i="10"/>
  <c r="T86" i="10"/>
  <c r="U86" i="10"/>
  <c r="G73" i="10"/>
  <c r="F73" i="10"/>
  <c r="T80" i="10"/>
  <c r="U80" i="10"/>
  <c r="T76" i="10"/>
  <c r="U76" i="10"/>
  <c r="T78" i="10"/>
  <c r="U78" i="10"/>
  <c r="T81" i="10"/>
  <c r="U81" i="10"/>
  <c r="U67" i="10"/>
  <c r="T67" i="10"/>
  <c r="T73" i="10"/>
  <c r="U73" i="10"/>
  <c r="P75" i="1"/>
  <c r="H75" i="4"/>
  <c r="H75" i="9" s="1"/>
  <c r="Q75" i="4"/>
  <c r="E75" i="4"/>
  <c r="E75" i="9" s="1"/>
  <c r="G75" i="4"/>
  <c r="G75" i="9" s="1"/>
  <c r="Q76" i="5"/>
  <c r="H76" i="5"/>
  <c r="H76" i="18" s="1"/>
  <c r="J74" i="11"/>
  <c r="Q75" i="3"/>
  <c r="E76" i="5"/>
  <c r="E76" i="18" s="1"/>
  <c r="E75" i="1"/>
  <c r="E75" i="6" s="1"/>
  <c r="H75" i="3"/>
  <c r="G76" i="5"/>
  <c r="G76" i="18" s="1"/>
  <c r="G75" i="3"/>
  <c r="G75" i="7" s="1"/>
  <c r="G75" i="1"/>
  <c r="G75" i="6" s="1"/>
  <c r="E75" i="3"/>
  <c r="E75" i="7" s="1"/>
  <c r="Q77" i="1"/>
  <c r="P77" i="6" s="1"/>
  <c r="S77" i="1"/>
  <c r="R77" i="6" s="1"/>
  <c r="U77" i="6"/>
  <c r="U79" i="6"/>
  <c r="S79" i="1"/>
  <c r="R79" i="6" s="1"/>
  <c r="Q79" i="1"/>
  <c r="P79" i="6" s="1"/>
  <c r="T79" i="1"/>
  <c r="S79" i="6" s="1"/>
  <c r="R79" i="1"/>
  <c r="Q79" i="6" s="1"/>
  <c r="U78" i="6"/>
  <c r="S78" i="1"/>
  <c r="R78" i="6" s="1"/>
  <c r="T78" i="1"/>
  <c r="S78" i="6" s="1"/>
  <c r="Q78" i="1"/>
  <c r="P78" i="6" s="1"/>
  <c r="R78" i="1"/>
  <c r="Q78" i="6" s="1"/>
  <c r="S82" i="1"/>
  <c r="R82" i="6" s="1"/>
  <c r="R82" i="1"/>
  <c r="Q82" i="6" s="1"/>
  <c r="Q82" i="1"/>
  <c r="P82" i="6" s="1"/>
  <c r="T82" i="1"/>
  <c r="U76" i="6"/>
  <c r="T76" i="1"/>
  <c r="S76" i="6" s="1"/>
  <c r="R76" i="1"/>
  <c r="Q76" i="6" s="1"/>
  <c r="S76" i="1"/>
  <c r="R76" i="6" s="1"/>
  <c r="Q76" i="1"/>
  <c r="P76" i="6" s="1"/>
  <c r="U80" i="6"/>
  <c r="T80" i="1"/>
  <c r="S80" i="6" s="1"/>
  <c r="S80" i="1"/>
  <c r="R80" i="6" s="1"/>
  <c r="Q80" i="1"/>
  <c r="P80" i="6" s="1"/>
  <c r="R80" i="1"/>
  <c r="Q80" i="6" s="1"/>
  <c r="R80" i="18"/>
  <c r="R73" i="18"/>
  <c r="R81" i="18"/>
  <c r="G50" i="19"/>
  <c r="S83" i="18"/>
  <c r="R83" i="18"/>
  <c r="T83" i="18"/>
  <c r="Q83" i="18"/>
  <c r="T82" i="18"/>
  <c r="Q82" i="18"/>
  <c r="S82" i="18"/>
  <c r="R82" i="18"/>
  <c r="Q78" i="18"/>
  <c r="T78" i="18"/>
  <c r="R78" i="18"/>
  <c r="R84" i="18"/>
  <c r="Q84" i="18"/>
  <c r="S84" i="18"/>
  <c r="T84" i="18"/>
  <c r="T77" i="7"/>
  <c r="R79" i="7"/>
  <c r="L81" i="18"/>
  <c r="J80" i="18"/>
  <c r="H81" i="18"/>
  <c r="L73" i="18"/>
  <c r="U82" i="6"/>
  <c r="V82" i="7"/>
  <c r="S82" i="9"/>
  <c r="T82" i="9"/>
  <c r="Q82" i="9"/>
  <c r="R82" i="9"/>
  <c r="J82" i="9"/>
  <c r="K82" i="9"/>
  <c r="I82" i="9"/>
  <c r="L82" i="9"/>
  <c r="H79" i="18"/>
  <c r="I79" i="18"/>
  <c r="H83" i="18"/>
  <c r="H82" i="18"/>
  <c r="I82" i="18"/>
  <c r="H74" i="18"/>
  <c r="I74" i="18"/>
  <c r="J73" i="18"/>
  <c r="L79" i="18"/>
  <c r="H73" i="18"/>
  <c r="I73" i="18"/>
  <c r="H77" i="18"/>
  <c r="I77" i="18"/>
  <c r="H78" i="18"/>
  <c r="I78" i="18"/>
  <c r="H80" i="18"/>
  <c r="I80" i="18"/>
  <c r="Q72" i="7"/>
  <c r="J78" i="18"/>
  <c r="K78" i="18"/>
  <c r="J77" i="18"/>
  <c r="L78" i="18"/>
  <c r="K77" i="18"/>
  <c r="H82" i="7"/>
  <c r="H81" i="7"/>
  <c r="I81" i="7"/>
  <c r="K81" i="7"/>
  <c r="J81" i="7"/>
  <c r="L81" i="7"/>
  <c r="J82" i="18"/>
  <c r="L82" i="18"/>
  <c r="K82" i="18"/>
  <c r="I79" i="7"/>
  <c r="R80" i="7"/>
  <c r="T72" i="7"/>
  <c r="R72" i="7"/>
  <c r="E77" i="6"/>
  <c r="K72" i="7"/>
  <c r="E78" i="18"/>
  <c r="E80" i="18"/>
  <c r="E73" i="7"/>
  <c r="E76" i="7"/>
  <c r="Q79" i="7"/>
  <c r="E81" i="18"/>
  <c r="E78" i="7"/>
  <c r="K80" i="7"/>
  <c r="J73" i="7"/>
  <c r="K78" i="7"/>
  <c r="L73" i="7"/>
  <c r="L80" i="7"/>
  <c r="T73" i="7"/>
  <c r="S78" i="7"/>
  <c r="Q73" i="7"/>
  <c r="S77" i="7"/>
  <c r="T78" i="7"/>
  <c r="J77" i="7"/>
  <c r="Q80" i="7"/>
  <c r="R77" i="7"/>
  <c r="R78" i="7"/>
  <c r="T80" i="7"/>
  <c r="Q77" i="7"/>
  <c r="R73" i="7"/>
  <c r="T79" i="7"/>
  <c r="Q78" i="7"/>
  <c r="J80" i="7"/>
  <c r="I76" i="7"/>
  <c r="B46" i="2"/>
  <c r="P72" i="2"/>
  <c r="O72" i="2"/>
  <c r="Q73" i="2"/>
  <c r="F46" i="12"/>
  <c r="G46" i="12"/>
  <c r="H46" i="12"/>
  <c r="N46" i="12"/>
  <c r="K46" i="12"/>
  <c r="L46" i="12"/>
  <c r="E46" i="12"/>
  <c r="D46" i="12"/>
  <c r="I46" i="12"/>
  <c r="M46" i="12"/>
  <c r="J46" i="12"/>
  <c r="C46" i="2"/>
  <c r="C75" i="3"/>
  <c r="C75" i="4"/>
  <c r="C75" i="1"/>
  <c r="D76" i="5"/>
  <c r="D76" i="18" s="1"/>
  <c r="C76" i="5"/>
  <c r="C76" i="18" s="1"/>
  <c r="D75" i="3"/>
  <c r="D75" i="7" s="1"/>
  <c r="D75" i="4"/>
  <c r="D75" i="9" s="1"/>
  <c r="D75" i="1"/>
  <c r="E80" i="9"/>
  <c r="J73" i="9"/>
  <c r="H73" i="9"/>
  <c r="K73" i="9"/>
  <c r="L73" i="9"/>
  <c r="I73" i="9"/>
  <c r="L80" i="9"/>
  <c r="H80" i="9"/>
  <c r="J80" i="9"/>
  <c r="I80" i="9"/>
  <c r="K80" i="9"/>
  <c r="J72" i="9"/>
  <c r="H72" i="9"/>
  <c r="K72" i="9"/>
  <c r="L72" i="9"/>
  <c r="I72" i="9"/>
  <c r="I76" i="9"/>
  <c r="H76" i="9"/>
  <c r="K76" i="9"/>
  <c r="J76" i="9"/>
  <c r="L76" i="9"/>
  <c r="J77" i="9"/>
  <c r="H77" i="9"/>
  <c r="I77" i="9"/>
  <c r="K77" i="9"/>
  <c r="L77" i="9"/>
  <c r="J79" i="9"/>
  <c r="H79" i="9"/>
  <c r="I79" i="9"/>
  <c r="K79" i="9"/>
  <c r="L79" i="9"/>
  <c r="H78" i="9"/>
  <c r="J78" i="9"/>
  <c r="I78" i="9"/>
  <c r="K78" i="9"/>
  <c r="L78" i="9"/>
  <c r="S80" i="7"/>
  <c r="S73" i="7"/>
  <c r="S72" i="7"/>
  <c r="S79" i="7"/>
  <c r="J76" i="7"/>
  <c r="I78" i="7"/>
  <c r="E76" i="6"/>
  <c r="K76" i="7"/>
  <c r="L72" i="7"/>
  <c r="L78" i="7"/>
  <c r="E77" i="9"/>
  <c r="E76" i="9"/>
  <c r="E79" i="9"/>
  <c r="E78" i="9"/>
  <c r="W67" i="10"/>
  <c r="Y67" i="10"/>
  <c r="I80" i="7"/>
  <c r="I73" i="7"/>
  <c r="J78" i="7"/>
  <c r="L77" i="7"/>
  <c r="R79" i="18"/>
  <c r="S78" i="18"/>
  <c r="T80" i="18"/>
  <c r="Q81" i="18"/>
  <c r="Q73" i="18"/>
  <c r="L76" i="7"/>
  <c r="I77" i="7"/>
  <c r="K77" i="7"/>
  <c r="L79" i="7"/>
  <c r="I72" i="7"/>
  <c r="K73" i="7"/>
  <c r="E78" i="6"/>
  <c r="E79" i="6"/>
  <c r="E80" i="6"/>
  <c r="J79" i="7"/>
  <c r="J72" i="7"/>
  <c r="K79" i="7"/>
  <c r="T73" i="18"/>
  <c r="Q80" i="18"/>
  <c r="Q77" i="18"/>
  <c r="S73" i="18"/>
  <c r="T77" i="18"/>
  <c r="S80" i="18"/>
  <c r="R77" i="18"/>
  <c r="S81" i="18"/>
  <c r="T81" i="18"/>
  <c r="T69" i="18"/>
  <c r="S69" i="18"/>
  <c r="R69" i="18"/>
  <c r="Q69" i="18"/>
  <c r="Q68" i="18"/>
  <c r="S68" i="18"/>
  <c r="T68" i="18"/>
  <c r="R68" i="18"/>
  <c r="L68" i="7"/>
  <c r="K68" i="7"/>
  <c r="J68" i="7"/>
  <c r="I68" i="7"/>
  <c r="H68" i="6"/>
  <c r="K68" i="6"/>
  <c r="J68" i="6"/>
  <c r="I68" i="6"/>
  <c r="H67" i="6"/>
  <c r="K67" i="6"/>
  <c r="J67" i="6"/>
  <c r="I67" i="6"/>
  <c r="G79" i="6"/>
  <c r="G78" i="6"/>
  <c r="G80" i="6"/>
  <c r="G77" i="6"/>
  <c r="G76" i="6"/>
  <c r="G73" i="6"/>
  <c r="G72" i="6"/>
  <c r="B75" i="10" l="1"/>
  <c r="P75" i="10" s="1"/>
  <c r="C75" i="10"/>
  <c r="P74" i="1"/>
  <c r="H74" i="4"/>
  <c r="Q74" i="4"/>
  <c r="G74" i="4"/>
  <c r="G74" i="9" s="1"/>
  <c r="E74" i="4"/>
  <c r="Q74" i="3"/>
  <c r="Q75" i="5"/>
  <c r="H75" i="5"/>
  <c r="J73" i="11"/>
  <c r="G75" i="5"/>
  <c r="G75" i="18" s="1"/>
  <c r="E74" i="1"/>
  <c r="H74" i="3"/>
  <c r="E75" i="5"/>
  <c r="G74" i="3"/>
  <c r="G74" i="7" s="1"/>
  <c r="G74" i="1"/>
  <c r="E74" i="3"/>
  <c r="V75" i="1"/>
  <c r="W75" i="1"/>
  <c r="U75" i="6" s="1"/>
  <c r="I75" i="1"/>
  <c r="I75" i="6" s="1"/>
  <c r="H75" i="1"/>
  <c r="H75" i="6" s="1"/>
  <c r="K75" i="1"/>
  <c r="K75" i="6" s="1"/>
  <c r="J75" i="1"/>
  <c r="J75" i="6" s="1"/>
  <c r="P76" i="18"/>
  <c r="T76" i="5"/>
  <c r="S76" i="18" s="1"/>
  <c r="S76" i="5"/>
  <c r="R76" i="18" s="1"/>
  <c r="R76" i="5"/>
  <c r="Q76" i="18" s="1"/>
  <c r="U76" i="5"/>
  <c r="T76" i="18" s="1"/>
  <c r="I75" i="3"/>
  <c r="I75" i="7" s="1"/>
  <c r="J75" i="3"/>
  <c r="J75" i="7" s="1"/>
  <c r="H75" i="7"/>
  <c r="L75" i="3"/>
  <c r="L75" i="7" s="1"/>
  <c r="K75" i="3"/>
  <c r="K75" i="7" s="1"/>
  <c r="T75" i="4"/>
  <c r="S75" i="9" s="1"/>
  <c r="S75" i="4"/>
  <c r="R75" i="9" s="1"/>
  <c r="U75" i="4"/>
  <c r="T75" i="9" s="1"/>
  <c r="R75" i="4"/>
  <c r="Q75" i="9" s="1"/>
  <c r="P75" i="9"/>
  <c r="J76" i="5"/>
  <c r="J76" i="18" s="1"/>
  <c r="K76" i="5"/>
  <c r="K76" i="18" s="1"/>
  <c r="I76" i="5"/>
  <c r="I76" i="18" s="1"/>
  <c r="L76" i="5"/>
  <c r="L76" i="18" s="1"/>
  <c r="L75" i="4"/>
  <c r="L75" i="9" s="1"/>
  <c r="I75" i="4"/>
  <c r="I75" i="9" s="1"/>
  <c r="J75" i="4"/>
  <c r="J75" i="9" s="1"/>
  <c r="K75" i="4"/>
  <c r="K75" i="9" s="1"/>
  <c r="P75" i="7"/>
  <c r="S75" i="3"/>
  <c r="R75" i="7" s="1"/>
  <c r="T75" i="3"/>
  <c r="S75" i="7" s="1"/>
  <c r="U75" i="3"/>
  <c r="T75" i="7" s="1"/>
  <c r="R75" i="3"/>
  <c r="Q75" i="7" s="1"/>
  <c r="O75" i="6"/>
  <c r="K118" i="19"/>
  <c r="K111" i="19"/>
  <c r="C75" i="7"/>
  <c r="C75" i="9"/>
  <c r="C75" i="6"/>
  <c r="S82" i="6"/>
  <c r="S82" i="7"/>
  <c r="T82" i="7"/>
  <c r="R82" i="7"/>
  <c r="Q82" i="7"/>
  <c r="J82" i="7"/>
  <c r="L82" i="7"/>
  <c r="I82" i="7"/>
  <c r="K82" i="7"/>
  <c r="L83" i="18"/>
  <c r="I83" i="18"/>
  <c r="K83" i="18"/>
  <c r="J83" i="18"/>
  <c r="M45" i="12"/>
  <c r="K45" i="12"/>
  <c r="D45" i="12"/>
  <c r="F45" i="12"/>
  <c r="H45" i="12"/>
  <c r="E45" i="12"/>
  <c r="J45" i="12"/>
  <c r="L45" i="12"/>
  <c r="I45" i="12"/>
  <c r="N45" i="12"/>
  <c r="G45" i="12"/>
  <c r="C45" i="2"/>
  <c r="D75" i="6"/>
  <c r="Q75" i="10"/>
  <c r="B45" i="2"/>
  <c r="P71" i="2"/>
  <c r="O71" i="2"/>
  <c r="C75" i="5"/>
  <c r="C75" i="18" s="1"/>
  <c r="D74" i="3"/>
  <c r="D75" i="5"/>
  <c r="C74" i="4"/>
  <c r="D74" i="4"/>
  <c r="C74" i="1"/>
  <c r="C74" i="3"/>
  <c r="D74" i="1"/>
  <c r="R74" i="18"/>
  <c r="T74" i="18"/>
  <c r="Q74" i="18"/>
  <c r="S74" i="18"/>
  <c r="H76" i="6"/>
  <c r="K76" i="6"/>
  <c r="J76" i="6"/>
  <c r="I76" i="6"/>
  <c r="H79" i="6"/>
  <c r="K79" i="6"/>
  <c r="J79" i="6"/>
  <c r="I79" i="6"/>
  <c r="H72" i="6"/>
  <c r="K72" i="6"/>
  <c r="J72" i="6"/>
  <c r="I72" i="6"/>
  <c r="H73" i="6"/>
  <c r="K73" i="6"/>
  <c r="J73" i="6"/>
  <c r="I73" i="6"/>
  <c r="H78" i="6"/>
  <c r="K78" i="6"/>
  <c r="J78" i="6"/>
  <c r="I78" i="6"/>
  <c r="H77" i="6"/>
  <c r="K77" i="6"/>
  <c r="J77" i="6"/>
  <c r="I77" i="6"/>
  <c r="B74" i="10" l="1"/>
  <c r="P74" i="10" s="1"/>
  <c r="C74" i="10"/>
  <c r="Q74" i="10" s="1"/>
  <c r="W74" i="1"/>
  <c r="U74" i="6" s="1"/>
  <c r="V74" i="1"/>
  <c r="E74" i="6"/>
  <c r="S75" i="1"/>
  <c r="R75" i="6" s="1"/>
  <c r="T75" i="1"/>
  <c r="S75" i="6" s="1"/>
  <c r="Q75" i="1"/>
  <c r="P75" i="6" s="1"/>
  <c r="R75" i="1"/>
  <c r="Q75" i="6" s="1"/>
  <c r="J75" i="5"/>
  <c r="J75" i="18" s="1"/>
  <c r="I75" i="5"/>
  <c r="I75" i="18" s="1"/>
  <c r="L75" i="5"/>
  <c r="L75" i="18" s="1"/>
  <c r="K75" i="5"/>
  <c r="K75" i="18" s="1"/>
  <c r="H75" i="18"/>
  <c r="J74" i="4"/>
  <c r="J74" i="9" s="1"/>
  <c r="I74" i="4"/>
  <c r="I74" i="9" s="1"/>
  <c r="L74" i="4"/>
  <c r="L74" i="9" s="1"/>
  <c r="K74" i="4"/>
  <c r="K74" i="9" s="1"/>
  <c r="H74" i="9"/>
  <c r="P74" i="9"/>
  <c r="S74" i="4"/>
  <c r="R74" i="9" s="1"/>
  <c r="R74" i="4"/>
  <c r="Q74" i="9" s="1"/>
  <c r="T74" i="4"/>
  <c r="S74" i="9" s="1"/>
  <c r="U74" i="4"/>
  <c r="T74" i="9" s="1"/>
  <c r="P74" i="7"/>
  <c r="U74" i="3"/>
  <c r="T74" i="7" s="1"/>
  <c r="T74" i="3"/>
  <c r="S74" i="7" s="1"/>
  <c r="R74" i="3"/>
  <c r="Q74" i="7" s="1"/>
  <c r="S74" i="3"/>
  <c r="R74" i="7" s="1"/>
  <c r="P75" i="18"/>
  <c r="U75" i="5"/>
  <c r="T75" i="18" s="1"/>
  <c r="S75" i="5"/>
  <c r="R75" i="18" s="1"/>
  <c r="R75" i="5"/>
  <c r="Q75" i="18" s="1"/>
  <c r="T75" i="5"/>
  <c r="S75" i="18" s="1"/>
  <c r="J74" i="3"/>
  <c r="J74" i="7" s="1"/>
  <c r="H74" i="7"/>
  <c r="I74" i="3"/>
  <c r="I74" i="7" s="1"/>
  <c r="L74" i="3"/>
  <c r="L74" i="7" s="1"/>
  <c r="K74" i="3"/>
  <c r="K74" i="7" s="1"/>
  <c r="O74" i="6"/>
  <c r="I74" i="1"/>
  <c r="I74" i="6" s="1"/>
  <c r="H74" i="1"/>
  <c r="H74" i="6" s="1"/>
  <c r="K74" i="1"/>
  <c r="K74" i="6" s="1"/>
  <c r="J74" i="1"/>
  <c r="J74" i="6" s="1"/>
  <c r="G74" i="6"/>
  <c r="L74" i="11"/>
  <c r="C74" i="7"/>
  <c r="R74" i="11"/>
  <c r="C74" i="6"/>
  <c r="L73" i="11"/>
  <c r="C74" i="9"/>
  <c r="D74" i="9"/>
  <c r="E74" i="9"/>
  <c r="D75" i="18"/>
  <c r="E75" i="18"/>
  <c r="D74" i="7"/>
  <c r="E74" i="7"/>
  <c r="F44" i="12"/>
  <c r="G44" i="12"/>
  <c r="L44" i="12"/>
  <c r="E44" i="12"/>
  <c r="N44" i="12"/>
  <c r="K44" i="12"/>
  <c r="I44" i="12"/>
  <c r="M44" i="12"/>
  <c r="D44" i="12"/>
  <c r="H44" i="12"/>
  <c r="J44" i="12"/>
  <c r="C44" i="2"/>
  <c r="B44" i="2"/>
  <c r="O70" i="2"/>
  <c r="P70" i="2"/>
  <c r="D74" i="6"/>
  <c r="K80" i="6"/>
  <c r="J80" i="6"/>
  <c r="I80" i="6"/>
  <c r="H80" i="6"/>
  <c r="T74" i="10" l="1"/>
  <c r="U74" i="10"/>
  <c r="U75" i="10"/>
  <c r="T75" i="10"/>
  <c r="R74" i="1"/>
  <c r="Q74" i="6" s="1"/>
  <c r="Q74" i="1"/>
  <c r="P74" i="6" s="1"/>
  <c r="T74" i="1"/>
  <c r="S74" i="6" s="1"/>
  <c r="S74" i="1"/>
  <c r="R74" i="6" s="1"/>
  <c r="R73" i="11"/>
  <c r="F43" i="12"/>
  <c r="I43" i="12"/>
  <c r="H43" i="12"/>
  <c r="M43" i="12"/>
  <c r="D43" i="12"/>
  <c r="G43" i="12"/>
  <c r="L43" i="12"/>
  <c r="E43" i="12"/>
  <c r="K43" i="12"/>
  <c r="J43" i="12"/>
  <c r="N43" i="12"/>
  <c r="C43" i="2"/>
  <c r="B43" i="2"/>
  <c r="Q70" i="2"/>
  <c r="O69" i="2"/>
  <c r="P69" i="2"/>
  <c r="P71" i="1" l="1"/>
  <c r="H71" i="4"/>
  <c r="Q71" i="4"/>
  <c r="E71" i="4"/>
  <c r="G71" i="4"/>
  <c r="G71" i="9" s="1"/>
  <c r="Q71" i="3"/>
  <c r="Q72" i="5"/>
  <c r="J70" i="11"/>
  <c r="H72" i="5"/>
  <c r="G72" i="5"/>
  <c r="G72" i="18" s="1"/>
  <c r="E71" i="1"/>
  <c r="H71" i="3"/>
  <c r="G71" i="3"/>
  <c r="G71" i="7" s="1"/>
  <c r="G71" i="1"/>
  <c r="E72" i="5"/>
  <c r="E71" i="3"/>
  <c r="B42" i="2"/>
  <c r="O68" i="2"/>
  <c r="P68" i="2"/>
  <c r="Q69" i="2"/>
  <c r="G42" i="12"/>
  <c r="L42" i="12"/>
  <c r="F42" i="12"/>
  <c r="D42" i="12"/>
  <c r="E42" i="12"/>
  <c r="J42" i="12"/>
  <c r="I42" i="12"/>
  <c r="N42" i="12"/>
  <c r="K42" i="12"/>
  <c r="H42" i="12"/>
  <c r="M42" i="12"/>
  <c r="C42" i="2"/>
  <c r="C71" i="4"/>
  <c r="C71" i="1"/>
  <c r="C71" i="3"/>
  <c r="C72" i="5"/>
  <c r="C72" i="18" s="1"/>
  <c r="D71" i="3"/>
  <c r="D71" i="1"/>
  <c r="D72" i="5"/>
  <c r="D71" i="4"/>
  <c r="B71" i="10" l="1"/>
  <c r="P71" i="10" s="1"/>
  <c r="C71" i="10"/>
  <c r="P70" i="1"/>
  <c r="H70" i="4"/>
  <c r="Q70" i="4"/>
  <c r="E70" i="4"/>
  <c r="G70" i="4"/>
  <c r="G70" i="9" s="1"/>
  <c r="H71" i="5"/>
  <c r="Q71" i="5"/>
  <c r="K70" i="10"/>
  <c r="Y70" i="10" s="1"/>
  <c r="Q70" i="3"/>
  <c r="J69" i="11"/>
  <c r="E71" i="5"/>
  <c r="G71" i="5"/>
  <c r="G71" i="18" s="1"/>
  <c r="H70" i="3"/>
  <c r="G70" i="3"/>
  <c r="G70" i="7" s="1"/>
  <c r="E70" i="1"/>
  <c r="I70" i="10"/>
  <c r="W70" i="10" s="1"/>
  <c r="E70" i="3"/>
  <c r="J70" i="10"/>
  <c r="X70" i="10" s="1"/>
  <c r="G70" i="1"/>
  <c r="W71" i="1"/>
  <c r="U71" i="6" s="1"/>
  <c r="V71" i="1"/>
  <c r="J72" i="5"/>
  <c r="J72" i="18" s="1"/>
  <c r="I72" i="5"/>
  <c r="I72" i="18" s="1"/>
  <c r="L72" i="5"/>
  <c r="L72" i="18" s="1"/>
  <c r="K72" i="5"/>
  <c r="K72" i="18" s="1"/>
  <c r="H72" i="18"/>
  <c r="I71" i="1"/>
  <c r="I71" i="6" s="1"/>
  <c r="H71" i="1"/>
  <c r="H71" i="6" s="1"/>
  <c r="K71" i="1"/>
  <c r="K71" i="6" s="1"/>
  <c r="J71" i="1"/>
  <c r="J71" i="6" s="1"/>
  <c r="G71" i="6"/>
  <c r="J71" i="3"/>
  <c r="J71" i="7" s="1"/>
  <c r="H71" i="7"/>
  <c r="I71" i="3"/>
  <c r="I71" i="7" s="1"/>
  <c r="L71" i="3"/>
  <c r="L71" i="7" s="1"/>
  <c r="K71" i="3"/>
  <c r="K71" i="7" s="1"/>
  <c r="P71" i="7"/>
  <c r="S71" i="3"/>
  <c r="R71" i="7" s="1"/>
  <c r="R71" i="3"/>
  <c r="Q71" i="7" s="1"/>
  <c r="U71" i="3"/>
  <c r="T71" i="7" s="1"/>
  <c r="T71" i="3"/>
  <c r="S71" i="7" s="1"/>
  <c r="P71" i="9"/>
  <c r="U71" i="4"/>
  <c r="T71" i="9" s="1"/>
  <c r="T71" i="4"/>
  <c r="S71" i="9" s="1"/>
  <c r="S71" i="4"/>
  <c r="R71" i="9" s="1"/>
  <c r="R71" i="4"/>
  <c r="Q71" i="9" s="1"/>
  <c r="I71" i="4"/>
  <c r="I71" i="9" s="1"/>
  <c r="K71" i="4"/>
  <c r="K71" i="9" s="1"/>
  <c r="L71" i="4"/>
  <c r="L71" i="9" s="1"/>
  <c r="J71" i="4"/>
  <c r="J71" i="9" s="1"/>
  <c r="H71" i="9"/>
  <c r="U72" i="5"/>
  <c r="T72" i="18" s="1"/>
  <c r="P72" i="18"/>
  <c r="T72" i="5"/>
  <c r="S72" i="18" s="1"/>
  <c r="R72" i="5"/>
  <c r="Q72" i="18" s="1"/>
  <c r="S72" i="5"/>
  <c r="R72" i="18" s="1"/>
  <c r="O71" i="6"/>
  <c r="C71" i="9"/>
  <c r="C71" i="7"/>
  <c r="C71" i="6"/>
  <c r="L70" i="11"/>
  <c r="D71" i="7"/>
  <c r="E71" i="7"/>
  <c r="D71" i="9"/>
  <c r="E71" i="9"/>
  <c r="D71" i="6"/>
  <c r="Q71" i="10"/>
  <c r="E71" i="6"/>
  <c r="C70" i="3"/>
  <c r="C70" i="1"/>
  <c r="D70" i="4"/>
  <c r="D70" i="3"/>
  <c r="D70" i="1"/>
  <c r="C70" i="4"/>
  <c r="C71" i="5"/>
  <c r="C71" i="18" s="1"/>
  <c r="D71" i="5"/>
  <c r="I41" i="12"/>
  <c r="D41" i="12"/>
  <c r="F41" i="12"/>
  <c r="K41" i="12"/>
  <c r="E41" i="12"/>
  <c r="J41" i="12"/>
  <c r="M41" i="12"/>
  <c r="N41" i="12"/>
  <c r="H41" i="12"/>
  <c r="G41" i="12"/>
  <c r="L41" i="12"/>
  <c r="C41" i="2"/>
  <c r="B41" i="2"/>
  <c r="Q68" i="2"/>
  <c r="P67" i="2"/>
  <c r="O67" i="2"/>
  <c r="D72" i="18"/>
  <c r="E72" i="18"/>
  <c r="U71" i="10" l="1"/>
  <c r="T71" i="10"/>
  <c r="B70" i="10"/>
  <c r="P70" i="10" s="1"/>
  <c r="C70" i="10"/>
  <c r="Q70" i="10" s="1"/>
  <c r="V70" i="1"/>
  <c r="W70" i="1"/>
  <c r="U70" i="6" s="1"/>
  <c r="P69" i="1"/>
  <c r="H69" i="4"/>
  <c r="Q69" i="4"/>
  <c r="E69" i="4"/>
  <c r="G69" i="4"/>
  <c r="G69" i="9" s="1"/>
  <c r="Q69" i="3"/>
  <c r="Q70" i="5"/>
  <c r="K69" i="10"/>
  <c r="Y69" i="10" s="1"/>
  <c r="J68" i="11"/>
  <c r="H70" i="5"/>
  <c r="E69" i="1"/>
  <c r="H69" i="3"/>
  <c r="E70" i="5"/>
  <c r="G69" i="3"/>
  <c r="I69" i="10"/>
  <c r="W69" i="10" s="1"/>
  <c r="G69" i="1"/>
  <c r="G70" i="5"/>
  <c r="G70" i="18" s="1"/>
  <c r="J69" i="10"/>
  <c r="X69" i="10" s="1"/>
  <c r="E69" i="3"/>
  <c r="S71" i="1"/>
  <c r="R71" i="6" s="1"/>
  <c r="R71" i="1"/>
  <c r="Q71" i="6" s="1"/>
  <c r="I70" i="3"/>
  <c r="I70" i="7" s="1"/>
  <c r="J70" i="3"/>
  <c r="J70" i="7" s="1"/>
  <c r="L70" i="3"/>
  <c r="L70" i="7" s="1"/>
  <c r="K70" i="3"/>
  <c r="K70" i="7" s="1"/>
  <c r="H70" i="7"/>
  <c r="P70" i="9"/>
  <c r="U70" i="4"/>
  <c r="T70" i="9" s="1"/>
  <c r="T70" i="4"/>
  <c r="S70" i="9" s="1"/>
  <c r="R70" i="4"/>
  <c r="Q70" i="9" s="1"/>
  <c r="S70" i="4"/>
  <c r="R70" i="9" s="1"/>
  <c r="O70" i="6"/>
  <c r="Q71" i="1"/>
  <c r="P71" i="6" s="1"/>
  <c r="I70" i="1"/>
  <c r="I70" i="6" s="1"/>
  <c r="H70" i="1"/>
  <c r="H70" i="6" s="1"/>
  <c r="K70" i="1"/>
  <c r="K70" i="6" s="1"/>
  <c r="J70" i="1"/>
  <c r="J70" i="6" s="1"/>
  <c r="G70" i="6"/>
  <c r="K71" i="5"/>
  <c r="K71" i="18" s="1"/>
  <c r="L71" i="5"/>
  <c r="L71" i="18" s="1"/>
  <c r="J71" i="5"/>
  <c r="J71" i="18" s="1"/>
  <c r="H71" i="18"/>
  <c r="I71" i="5"/>
  <c r="I71" i="18" s="1"/>
  <c r="P71" i="18"/>
  <c r="R71" i="5"/>
  <c r="Q71" i="18" s="1"/>
  <c r="U71" i="5"/>
  <c r="T71" i="18" s="1"/>
  <c r="T71" i="5"/>
  <c r="S71" i="18" s="1"/>
  <c r="S71" i="5"/>
  <c r="R71" i="18" s="1"/>
  <c r="T71" i="1"/>
  <c r="S71" i="6" s="1"/>
  <c r="J70" i="4"/>
  <c r="J70" i="9" s="1"/>
  <c r="L70" i="4"/>
  <c r="L70" i="9" s="1"/>
  <c r="I70" i="4"/>
  <c r="I70" i="9" s="1"/>
  <c r="K70" i="4"/>
  <c r="K70" i="9" s="1"/>
  <c r="H70" i="9"/>
  <c r="P70" i="7"/>
  <c r="T70" i="3"/>
  <c r="S70" i="7" s="1"/>
  <c r="U70" i="3"/>
  <c r="T70" i="7" s="1"/>
  <c r="R70" i="3"/>
  <c r="Q70" i="7" s="1"/>
  <c r="S70" i="3"/>
  <c r="R70" i="7" s="1"/>
  <c r="R70" i="11"/>
  <c r="C70" i="9"/>
  <c r="C70" i="7"/>
  <c r="C70" i="6"/>
  <c r="B40" i="2"/>
  <c r="P66" i="2"/>
  <c r="O66" i="2"/>
  <c r="D70" i="6"/>
  <c r="E70" i="6"/>
  <c r="K40" i="12"/>
  <c r="G40" i="12"/>
  <c r="E40" i="12"/>
  <c r="J40" i="12"/>
  <c r="I40" i="12"/>
  <c r="D40" i="12"/>
  <c r="N40" i="12"/>
  <c r="H40" i="12"/>
  <c r="M40" i="12"/>
  <c r="L40" i="12"/>
  <c r="F40" i="12"/>
  <c r="C40" i="2"/>
  <c r="D70" i="9"/>
  <c r="E70" i="9"/>
  <c r="D70" i="5"/>
  <c r="C70" i="5"/>
  <c r="C70" i="18" s="1"/>
  <c r="D69" i="3"/>
  <c r="C69" i="3"/>
  <c r="D69" i="1"/>
  <c r="C69" i="1"/>
  <c r="C69" i="4"/>
  <c r="D69" i="4"/>
  <c r="D71" i="18"/>
  <c r="E71" i="18"/>
  <c r="D70" i="7"/>
  <c r="E70" i="7"/>
  <c r="B69" i="10" l="1"/>
  <c r="P69" i="10" s="1"/>
  <c r="C69" i="10"/>
  <c r="Q69" i="10" s="1"/>
  <c r="G69" i="7"/>
  <c r="V69" i="1"/>
  <c r="W69" i="1"/>
  <c r="R70" i="1"/>
  <c r="Q70" i="6" s="1"/>
  <c r="S70" i="1"/>
  <c r="R70" i="6" s="1"/>
  <c r="Q70" i="1"/>
  <c r="P70" i="6" s="1"/>
  <c r="R69" i="4"/>
  <c r="Q69" i="9" s="1"/>
  <c r="T69" i="4"/>
  <c r="S69" i="9" s="1"/>
  <c r="U69" i="4"/>
  <c r="T69" i="9" s="1"/>
  <c r="S69" i="4"/>
  <c r="R69" i="9" s="1"/>
  <c r="S70" i="5"/>
  <c r="R70" i="18" s="1"/>
  <c r="R70" i="5"/>
  <c r="Q70" i="18" s="1"/>
  <c r="T70" i="5"/>
  <c r="S70" i="18" s="1"/>
  <c r="U70" i="5"/>
  <c r="T70" i="18" s="1"/>
  <c r="U69" i="3"/>
  <c r="S69" i="3"/>
  <c r="T69" i="3"/>
  <c r="R69" i="3"/>
  <c r="T70" i="1"/>
  <c r="S70" i="6" s="1"/>
  <c r="K69" i="3"/>
  <c r="K69" i="7" s="1"/>
  <c r="J69" i="3"/>
  <c r="J69" i="7" s="1"/>
  <c r="L69" i="3"/>
  <c r="L69" i="7" s="1"/>
  <c r="I69" i="3"/>
  <c r="I69" i="7" s="1"/>
  <c r="H69" i="7"/>
  <c r="H69" i="1"/>
  <c r="H69" i="6" s="1"/>
  <c r="K69" i="1"/>
  <c r="K69" i="6" s="1"/>
  <c r="J69" i="1"/>
  <c r="J69" i="6" s="1"/>
  <c r="I69" i="1"/>
  <c r="I69" i="6" s="1"/>
  <c r="J69" i="4"/>
  <c r="J69" i="9" s="1"/>
  <c r="I69" i="4"/>
  <c r="I69" i="9" s="1"/>
  <c r="K69" i="4"/>
  <c r="K69" i="9" s="1"/>
  <c r="L69" i="4"/>
  <c r="L69" i="9" s="1"/>
  <c r="J70" i="5"/>
  <c r="J70" i="18" s="1"/>
  <c r="I70" i="5"/>
  <c r="I70" i="18" s="1"/>
  <c r="L70" i="5"/>
  <c r="L70" i="18" s="1"/>
  <c r="K70" i="5"/>
  <c r="K70" i="18" s="1"/>
  <c r="R69" i="11"/>
  <c r="L69" i="11"/>
  <c r="C69" i="9"/>
  <c r="C69" i="7"/>
  <c r="C69" i="6"/>
  <c r="R68" i="11"/>
  <c r="H70" i="18"/>
  <c r="P70" i="18"/>
  <c r="P69" i="7"/>
  <c r="V69" i="7"/>
  <c r="P69" i="9"/>
  <c r="G69" i="6"/>
  <c r="O69" i="6"/>
  <c r="H69" i="9"/>
  <c r="D70" i="18"/>
  <c r="E70" i="18"/>
  <c r="F39" i="12"/>
  <c r="H39" i="12"/>
  <c r="M39" i="12"/>
  <c r="G39" i="12"/>
  <c r="L39" i="12"/>
  <c r="E39" i="12"/>
  <c r="K39" i="12"/>
  <c r="D39" i="12"/>
  <c r="I39" i="12"/>
  <c r="J39" i="12"/>
  <c r="N39" i="12"/>
  <c r="C39" i="2"/>
  <c r="D69" i="9"/>
  <c r="E69" i="9"/>
  <c r="D69" i="6"/>
  <c r="E69" i="6"/>
  <c r="B39" i="2"/>
  <c r="P65" i="2"/>
  <c r="O65" i="2"/>
  <c r="D69" i="7"/>
  <c r="E69" i="7"/>
  <c r="T70" i="10" l="1"/>
  <c r="U70" i="10"/>
  <c r="L68" i="11"/>
  <c r="U69" i="6"/>
  <c r="R69" i="1"/>
  <c r="Q69" i="6" s="1"/>
  <c r="T69" i="1"/>
  <c r="S69" i="6" s="1"/>
  <c r="Q69" i="1"/>
  <c r="P69" i="6" s="1"/>
  <c r="S69" i="1"/>
  <c r="R69" i="6" s="1"/>
  <c r="S69" i="7"/>
  <c r="R69" i="7"/>
  <c r="Q69" i="7"/>
  <c r="T69" i="7"/>
  <c r="G38" i="12"/>
  <c r="F38" i="12"/>
  <c r="E38" i="12"/>
  <c r="J38" i="12"/>
  <c r="K38" i="12"/>
  <c r="D38" i="12"/>
  <c r="H38" i="12"/>
  <c r="I38" i="12"/>
  <c r="N38" i="12"/>
  <c r="L38" i="12"/>
  <c r="M38" i="12"/>
  <c r="C38" i="2"/>
  <c r="B38" i="2"/>
  <c r="O64" i="2"/>
  <c r="Q65" i="2"/>
  <c r="P64" i="2"/>
  <c r="T69" i="10" l="1"/>
  <c r="U69" i="10"/>
  <c r="P66" i="1"/>
  <c r="H66" i="4"/>
  <c r="Q66" i="4"/>
  <c r="G66" i="4"/>
  <c r="G66" i="9" s="1"/>
  <c r="E66" i="4"/>
  <c r="J65" i="11"/>
  <c r="Q66" i="3"/>
  <c r="Q67" i="5"/>
  <c r="K66" i="10"/>
  <c r="H67" i="5"/>
  <c r="E67" i="5"/>
  <c r="G67" i="5"/>
  <c r="G67" i="18" s="1"/>
  <c r="E66" i="1"/>
  <c r="H66" i="3"/>
  <c r="G66" i="3"/>
  <c r="I66" i="10"/>
  <c r="J66" i="10"/>
  <c r="G66" i="1"/>
  <c r="E66" i="3"/>
  <c r="C66" i="1"/>
  <c r="C66" i="3"/>
  <c r="D66" i="4"/>
  <c r="D66" i="3"/>
  <c r="D67" i="5"/>
  <c r="C66" i="4"/>
  <c r="C67" i="5"/>
  <c r="C67" i="18" s="1"/>
  <c r="D66" i="1"/>
  <c r="E37" i="12"/>
  <c r="D37" i="12"/>
  <c r="J37" i="12"/>
  <c r="K37" i="12"/>
  <c r="M37" i="12"/>
  <c r="N37" i="12"/>
  <c r="H37" i="12"/>
  <c r="F37" i="12"/>
  <c r="G37" i="12"/>
  <c r="L37" i="12"/>
  <c r="I37" i="12"/>
  <c r="C37" i="2"/>
  <c r="B37" i="2"/>
  <c r="Q64" i="2"/>
  <c r="O63" i="2"/>
  <c r="P63" i="2"/>
  <c r="B66" i="10" l="1"/>
  <c r="P66" i="10" s="1"/>
  <c r="C66" i="10"/>
  <c r="Q66" i="10" s="1"/>
  <c r="P65" i="1"/>
  <c r="Q65" i="4"/>
  <c r="H65" i="4"/>
  <c r="G65" i="4"/>
  <c r="G65" i="9" s="1"/>
  <c r="E65" i="4"/>
  <c r="Q65" i="3"/>
  <c r="H66" i="5"/>
  <c r="K65" i="10"/>
  <c r="J64" i="11"/>
  <c r="Q66" i="5"/>
  <c r="G66" i="5"/>
  <c r="G66" i="18" s="1"/>
  <c r="E66" i="5"/>
  <c r="E65" i="1"/>
  <c r="H65" i="3"/>
  <c r="G65" i="3"/>
  <c r="I65" i="10"/>
  <c r="G65" i="1"/>
  <c r="J65" i="10"/>
  <c r="E65" i="3"/>
  <c r="W66" i="1"/>
  <c r="V66" i="1"/>
  <c r="J66" i="4"/>
  <c r="J66" i="9" s="1"/>
  <c r="L66" i="4"/>
  <c r="L66" i="9" s="1"/>
  <c r="I66" i="4"/>
  <c r="I66" i="9" s="1"/>
  <c r="K66" i="4"/>
  <c r="K66" i="9" s="1"/>
  <c r="K66" i="3"/>
  <c r="K66" i="7" s="1"/>
  <c r="J66" i="3"/>
  <c r="J66" i="7" s="1"/>
  <c r="L66" i="3"/>
  <c r="L66" i="7" s="1"/>
  <c r="I66" i="3"/>
  <c r="I66" i="7" s="1"/>
  <c r="T67" i="5"/>
  <c r="S67" i="18" s="1"/>
  <c r="R67" i="5"/>
  <c r="Q67" i="18" s="1"/>
  <c r="U67" i="5"/>
  <c r="T67" i="18" s="1"/>
  <c r="S67" i="5"/>
  <c r="R67" i="18" s="1"/>
  <c r="S66" i="3"/>
  <c r="T66" i="3"/>
  <c r="S66" i="7" s="1"/>
  <c r="U66" i="3"/>
  <c r="R66" i="3"/>
  <c r="J67" i="5"/>
  <c r="J67" i="18" s="1"/>
  <c r="I67" i="5"/>
  <c r="I67" i="18" s="1"/>
  <c r="L67" i="5"/>
  <c r="L67" i="18" s="1"/>
  <c r="K67" i="5"/>
  <c r="K67" i="18" s="1"/>
  <c r="I66" i="1"/>
  <c r="H66" i="1"/>
  <c r="K66" i="1"/>
  <c r="J66" i="1"/>
  <c r="S66" i="4"/>
  <c r="R66" i="9" s="1"/>
  <c r="R66" i="4"/>
  <c r="Q66" i="9" s="1"/>
  <c r="U66" i="4"/>
  <c r="T66" i="9" s="1"/>
  <c r="T66" i="4"/>
  <c r="S66" i="9" s="1"/>
  <c r="C66" i="6"/>
  <c r="R65" i="11"/>
  <c r="C66" i="7"/>
  <c r="C66" i="9"/>
  <c r="D67" i="18"/>
  <c r="E67" i="18"/>
  <c r="B36" i="2"/>
  <c r="O62" i="2"/>
  <c r="O61" i="2"/>
  <c r="P62" i="2"/>
  <c r="Q63" i="2"/>
  <c r="H67" i="18"/>
  <c r="D66" i="9"/>
  <c r="D66" i="6"/>
  <c r="P67" i="18"/>
  <c r="P66" i="9"/>
  <c r="G36" i="12"/>
  <c r="E36" i="12"/>
  <c r="J36" i="12"/>
  <c r="H36" i="12"/>
  <c r="I36" i="12"/>
  <c r="D36" i="12"/>
  <c r="N36" i="12"/>
  <c r="L36" i="12"/>
  <c r="M36" i="12"/>
  <c r="K36" i="12"/>
  <c r="F36" i="12"/>
  <c r="C36" i="2"/>
  <c r="P66" i="7"/>
  <c r="H66" i="9"/>
  <c r="C65" i="3"/>
  <c r="C66" i="5"/>
  <c r="C66" i="18" s="1"/>
  <c r="C65" i="1"/>
  <c r="D65" i="3"/>
  <c r="D65" i="1"/>
  <c r="D66" i="5"/>
  <c r="C65" i="4"/>
  <c r="D65" i="4"/>
  <c r="H66" i="7"/>
  <c r="O66" i="6"/>
  <c r="G66" i="7"/>
  <c r="D66" i="7"/>
  <c r="B65" i="10" l="1"/>
  <c r="P65" i="10" s="1"/>
  <c r="C65" i="10"/>
  <c r="Q65" i="10" s="1"/>
  <c r="W65" i="1"/>
  <c r="V65" i="1"/>
  <c r="P64" i="1"/>
  <c r="H64" i="4"/>
  <c r="Q64" i="4"/>
  <c r="E64" i="4"/>
  <c r="G64" i="4"/>
  <c r="G64" i="9" s="1"/>
  <c r="Q64" i="3"/>
  <c r="H65" i="5"/>
  <c r="Q65" i="5"/>
  <c r="J63" i="11"/>
  <c r="K64" i="10"/>
  <c r="H64" i="3"/>
  <c r="G65" i="5"/>
  <c r="G65" i="18" s="1"/>
  <c r="E64" i="1"/>
  <c r="G64" i="3"/>
  <c r="I64" i="10"/>
  <c r="G64" i="1"/>
  <c r="E65" i="5"/>
  <c r="J64" i="10"/>
  <c r="E64" i="3"/>
  <c r="S65" i="3"/>
  <c r="R65" i="3"/>
  <c r="Q65" i="7" s="1"/>
  <c r="U65" i="3"/>
  <c r="T65" i="3"/>
  <c r="J65" i="3"/>
  <c r="J65" i="7" s="1"/>
  <c r="I65" i="3"/>
  <c r="I65" i="7" s="1"/>
  <c r="L65" i="3"/>
  <c r="L65" i="7" s="1"/>
  <c r="K65" i="3"/>
  <c r="K65" i="7" s="1"/>
  <c r="T65" i="4"/>
  <c r="S65" i="9" s="1"/>
  <c r="R65" i="4"/>
  <c r="Q65" i="9" s="1"/>
  <c r="U65" i="4"/>
  <c r="T65" i="9" s="1"/>
  <c r="S65" i="4"/>
  <c r="R65" i="9" s="1"/>
  <c r="J65" i="4"/>
  <c r="J65" i="9" s="1"/>
  <c r="K65" i="4"/>
  <c r="K65" i="9" s="1"/>
  <c r="I65" i="4"/>
  <c r="I65" i="9" s="1"/>
  <c r="L65" i="4"/>
  <c r="L65" i="9" s="1"/>
  <c r="K66" i="5"/>
  <c r="K66" i="18" s="1"/>
  <c r="J66" i="5"/>
  <c r="J66" i="18" s="1"/>
  <c r="L66" i="5"/>
  <c r="L66" i="18" s="1"/>
  <c r="I66" i="5"/>
  <c r="I66" i="18" s="1"/>
  <c r="R66" i="5"/>
  <c r="Q66" i="18" s="1"/>
  <c r="T66" i="5"/>
  <c r="S66" i="18" s="1"/>
  <c r="U66" i="5"/>
  <c r="T66" i="18" s="1"/>
  <c r="S66" i="5"/>
  <c r="R66" i="18" s="1"/>
  <c r="I65" i="1"/>
  <c r="H65" i="1"/>
  <c r="K65" i="1"/>
  <c r="J65" i="1"/>
  <c r="Q66" i="1"/>
  <c r="P66" i="6" s="1"/>
  <c r="S66" i="1"/>
  <c r="R66" i="6" s="1"/>
  <c r="R66" i="1"/>
  <c r="Q66" i="6" s="1"/>
  <c r="T66" i="1"/>
  <c r="S66" i="6" s="1"/>
  <c r="L65" i="11"/>
  <c r="C65" i="7"/>
  <c r="C65" i="9"/>
  <c r="C65" i="6"/>
  <c r="R66" i="7"/>
  <c r="D65" i="9"/>
  <c r="P66" i="18"/>
  <c r="D65" i="7"/>
  <c r="G65" i="7"/>
  <c r="E66" i="6"/>
  <c r="W66" i="10"/>
  <c r="C64" i="4"/>
  <c r="D64" i="1"/>
  <c r="C64" i="3"/>
  <c r="C64" i="1"/>
  <c r="D64" i="4"/>
  <c r="D64" i="3"/>
  <c r="C65" i="5"/>
  <c r="C65" i="18" s="1"/>
  <c r="D65" i="5"/>
  <c r="F35" i="12"/>
  <c r="G35" i="12"/>
  <c r="L35" i="12"/>
  <c r="D35" i="12"/>
  <c r="E35" i="12"/>
  <c r="K35" i="12"/>
  <c r="I35" i="12"/>
  <c r="H35" i="12"/>
  <c r="M35" i="12"/>
  <c r="N35" i="12"/>
  <c r="J35" i="12"/>
  <c r="C35" i="2"/>
  <c r="E66" i="7"/>
  <c r="X66" i="10"/>
  <c r="D65" i="6"/>
  <c r="O65" i="6"/>
  <c r="H65" i="7"/>
  <c r="V66" i="7"/>
  <c r="Q66" i="7"/>
  <c r="T66" i="7"/>
  <c r="E66" i="9"/>
  <c r="Y66" i="10"/>
  <c r="B35" i="2"/>
  <c r="P61" i="2"/>
  <c r="Q62" i="2"/>
  <c r="H65" i="9"/>
  <c r="H66" i="18"/>
  <c r="G66" i="6"/>
  <c r="I66" i="6"/>
  <c r="K66" i="6"/>
  <c r="H66" i="6"/>
  <c r="J66" i="6"/>
  <c r="B34" i="2"/>
  <c r="P60" i="2"/>
  <c r="Q61" i="2"/>
  <c r="O60" i="2"/>
  <c r="U66" i="6"/>
  <c r="P65" i="7"/>
  <c r="D66" i="18"/>
  <c r="E66" i="18"/>
  <c r="P65" i="9"/>
  <c r="T66" i="10" l="1"/>
  <c r="U66" i="10"/>
  <c r="B64" i="10"/>
  <c r="C64" i="10"/>
  <c r="Q64" i="10" s="1"/>
  <c r="P62" i="1"/>
  <c r="Q62" i="4"/>
  <c r="H62" i="4"/>
  <c r="G62" i="4"/>
  <c r="G62" i="9" s="1"/>
  <c r="E62" i="4"/>
  <c r="Q63" i="5"/>
  <c r="H63" i="5"/>
  <c r="J61" i="11"/>
  <c r="K62" i="10"/>
  <c r="Q62" i="3"/>
  <c r="E62" i="1"/>
  <c r="G63" i="5"/>
  <c r="G63" i="18" s="1"/>
  <c r="E63" i="5"/>
  <c r="G62" i="3"/>
  <c r="I62" i="10"/>
  <c r="J62" i="10"/>
  <c r="H62" i="3"/>
  <c r="G62" i="1"/>
  <c r="E62" i="3"/>
  <c r="P63" i="1"/>
  <c r="H63" i="4"/>
  <c r="Q63" i="4"/>
  <c r="E63" i="4"/>
  <c r="G63" i="4"/>
  <c r="G63" i="9" s="1"/>
  <c r="Q63" i="3"/>
  <c r="Q64" i="5"/>
  <c r="J62" i="11"/>
  <c r="K63" i="10"/>
  <c r="H64" i="5"/>
  <c r="E64" i="5"/>
  <c r="G64" i="5"/>
  <c r="G64" i="18" s="1"/>
  <c r="H63" i="3"/>
  <c r="I63" i="10"/>
  <c r="E63" i="1"/>
  <c r="G63" i="1"/>
  <c r="G63" i="3"/>
  <c r="E63" i="3"/>
  <c r="J63" i="10"/>
  <c r="P64" i="10"/>
  <c r="W64" i="1"/>
  <c r="V64" i="1"/>
  <c r="J65" i="5"/>
  <c r="J65" i="18" s="1"/>
  <c r="I65" i="5"/>
  <c r="I65" i="18" s="1"/>
  <c r="L65" i="5"/>
  <c r="L65" i="18" s="1"/>
  <c r="K65" i="5"/>
  <c r="K65" i="18" s="1"/>
  <c r="J64" i="4"/>
  <c r="J64" i="9" s="1"/>
  <c r="K64" i="4"/>
  <c r="K64" i="9" s="1"/>
  <c r="L64" i="4"/>
  <c r="L64" i="9" s="1"/>
  <c r="I64" i="4"/>
  <c r="I64" i="9" s="1"/>
  <c r="U64" i="4"/>
  <c r="T64" i="9" s="1"/>
  <c r="S64" i="4"/>
  <c r="R64" i="9" s="1"/>
  <c r="R64" i="4"/>
  <c r="Q64" i="9" s="1"/>
  <c r="T64" i="4"/>
  <c r="S64" i="9" s="1"/>
  <c r="U64" i="3"/>
  <c r="T64" i="3"/>
  <c r="R64" i="3"/>
  <c r="S64" i="3"/>
  <c r="I64" i="3"/>
  <c r="I64" i="7" s="1"/>
  <c r="J64" i="3"/>
  <c r="J64" i="7" s="1"/>
  <c r="K64" i="3"/>
  <c r="K64" i="7" s="1"/>
  <c r="L64" i="3"/>
  <c r="L64" i="7" s="1"/>
  <c r="I64" i="1"/>
  <c r="H64" i="1"/>
  <c r="K64" i="1"/>
  <c r="J64" i="1"/>
  <c r="R65" i="5"/>
  <c r="Q65" i="18" s="1"/>
  <c r="T65" i="5"/>
  <c r="S65" i="18" s="1"/>
  <c r="S65" i="5"/>
  <c r="R65" i="18" s="1"/>
  <c r="U65" i="5"/>
  <c r="T65" i="18" s="1"/>
  <c r="T65" i="1"/>
  <c r="S65" i="6" s="1"/>
  <c r="S65" i="1"/>
  <c r="R65" i="6" s="1"/>
  <c r="Q65" i="1"/>
  <c r="P65" i="6" s="1"/>
  <c r="R65" i="1"/>
  <c r="Q65" i="6" s="1"/>
  <c r="R64" i="11"/>
  <c r="C64" i="9"/>
  <c r="C64" i="7"/>
  <c r="L64" i="11"/>
  <c r="C64" i="6"/>
  <c r="L63" i="11"/>
  <c r="B33" i="2"/>
  <c r="P59" i="2"/>
  <c r="Q60" i="2"/>
  <c r="O59" i="2"/>
  <c r="U65" i="6"/>
  <c r="E65" i="6"/>
  <c r="W65" i="10"/>
  <c r="D64" i="7"/>
  <c r="G64" i="7"/>
  <c r="P64" i="7"/>
  <c r="G33" i="12"/>
  <c r="F33" i="12"/>
  <c r="D33" i="12"/>
  <c r="H33" i="12"/>
  <c r="E33" i="12"/>
  <c r="J33" i="12"/>
  <c r="K33" i="12"/>
  <c r="L33" i="12"/>
  <c r="I33" i="12"/>
  <c r="N33" i="12"/>
  <c r="M33" i="12"/>
  <c r="C33" i="2"/>
  <c r="C64" i="5"/>
  <c r="C64" i="18" s="1"/>
  <c r="D63" i="1"/>
  <c r="C63" i="4"/>
  <c r="D63" i="3"/>
  <c r="D64" i="5"/>
  <c r="C63" i="1"/>
  <c r="D63" i="4"/>
  <c r="C63" i="3"/>
  <c r="D65" i="18"/>
  <c r="E65" i="18"/>
  <c r="P65" i="18"/>
  <c r="D64" i="6"/>
  <c r="H64" i="7"/>
  <c r="H64" i="9"/>
  <c r="P64" i="9"/>
  <c r="H65" i="18"/>
  <c r="E65" i="7"/>
  <c r="X65" i="10"/>
  <c r="E65" i="9"/>
  <c r="Y65" i="10"/>
  <c r="V65" i="7"/>
  <c r="T65" i="7"/>
  <c r="R65" i="7"/>
  <c r="S65" i="7"/>
  <c r="D62" i="4"/>
  <c r="D62" i="1"/>
  <c r="D62" i="3"/>
  <c r="C62" i="3"/>
  <c r="C62" i="4"/>
  <c r="C63" i="5"/>
  <c r="C63" i="18" s="1"/>
  <c r="C62" i="1"/>
  <c r="D63" i="5"/>
  <c r="G34" i="12"/>
  <c r="H34" i="12"/>
  <c r="F34" i="12"/>
  <c r="L34" i="12"/>
  <c r="E34" i="12"/>
  <c r="J34" i="12"/>
  <c r="I34" i="12"/>
  <c r="N34" i="12"/>
  <c r="D34" i="12"/>
  <c r="M34" i="12"/>
  <c r="K34" i="12"/>
  <c r="C34" i="2"/>
  <c r="G65" i="6"/>
  <c r="I65" i="6"/>
  <c r="H65" i="6"/>
  <c r="K65" i="6"/>
  <c r="J65" i="6"/>
  <c r="O64" i="6"/>
  <c r="D64" i="9"/>
  <c r="T65" i="10" l="1"/>
  <c r="U65" i="10"/>
  <c r="T64" i="10"/>
  <c r="U64" i="10"/>
  <c r="C63" i="10"/>
  <c r="Q63" i="10" s="1"/>
  <c r="B63" i="10"/>
  <c r="P63" i="10" s="1"/>
  <c r="B62" i="10"/>
  <c r="P62" i="10" s="1"/>
  <c r="C62" i="10"/>
  <c r="Q62" i="10" s="1"/>
  <c r="W63" i="1"/>
  <c r="V63" i="1"/>
  <c r="P61" i="1"/>
  <c r="H61" i="4"/>
  <c r="Q61" i="4"/>
  <c r="E61" i="4"/>
  <c r="G61" i="4"/>
  <c r="G61" i="9" s="1"/>
  <c r="K61" i="10"/>
  <c r="Q61" i="3"/>
  <c r="Q62" i="5"/>
  <c r="H62" i="5"/>
  <c r="J60" i="11"/>
  <c r="E61" i="1"/>
  <c r="H61" i="3"/>
  <c r="E62" i="5"/>
  <c r="G62" i="5"/>
  <c r="G62" i="18" s="1"/>
  <c r="G61" i="3"/>
  <c r="I61" i="10"/>
  <c r="E61" i="3"/>
  <c r="J61" i="10"/>
  <c r="G61" i="1"/>
  <c r="W62" i="1"/>
  <c r="V62" i="1"/>
  <c r="J63" i="5"/>
  <c r="J63" i="18" s="1"/>
  <c r="K63" i="5"/>
  <c r="K63" i="18" s="1"/>
  <c r="I63" i="5"/>
  <c r="I63" i="18" s="1"/>
  <c r="L63" i="5"/>
  <c r="L63" i="18" s="1"/>
  <c r="I62" i="4"/>
  <c r="I62" i="9" s="1"/>
  <c r="J62" i="4"/>
  <c r="J62" i="9" s="1"/>
  <c r="L62" i="4"/>
  <c r="L62" i="9" s="1"/>
  <c r="K62" i="4"/>
  <c r="K62" i="9" s="1"/>
  <c r="U64" i="5"/>
  <c r="T64" i="18" s="1"/>
  <c r="S64" i="5"/>
  <c r="R64" i="18" s="1"/>
  <c r="R64" i="5"/>
  <c r="Q64" i="18" s="1"/>
  <c r="T64" i="5"/>
  <c r="S64" i="18" s="1"/>
  <c r="R62" i="4"/>
  <c r="Q62" i="9" s="1"/>
  <c r="T62" i="4"/>
  <c r="S62" i="9" s="1"/>
  <c r="U62" i="4"/>
  <c r="T62" i="9" s="1"/>
  <c r="S62" i="4"/>
  <c r="R62" i="9" s="1"/>
  <c r="I63" i="1"/>
  <c r="H63" i="1"/>
  <c r="K63" i="1"/>
  <c r="J63" i="1"/>
  <c r="I63" i="4"/>
  <c r="I63" i="9" s="1"/>
  <c r="J63" i="4"/>
  <c r="J63" i="9" s="1"/>
  <c r="K63" i="4"/>
  <c r="K63" i="9" s="1"/>
  <c r="L63" i="4"/>
  <c r="L63" i="9" s="1"/>
  <c r="K63" i="3"/>
  <c r="K63" i="7" s="1"/>
  <c r="J63" i="3"/>
  <c r="J63" i="7" s="1"/>
  <c r="L63" i="3"/>
  <c r="L63" i="7" s="1"/>
  <c r="I63" i="3"/>
  <c r="I63" i="7" s="1"/>
  <c r="U63" i="4"/>
  <c r="T63" i="9" s="1"/>
  <c r="R63" i="4"/>
  <c r="Q63" i="9" s="1"/>
  <c r="T63" i="4"/>
  <c r="S63" i="9" s="1"/>
  <c r="S63" i="4"/>
  <c r="R63" i="9" s="1"/>
  <c r="S62" i="3"/>
  <c r="T62" i="3"/>
  <c r="R62" i="3"/>
  <c r="U62" i="3"/>
  <c r="T63" i="3"/>
  <c r="R63" i="3"/>
  <c r="U63" i="3"/>
  <c r="S63" i="3"/>
  <c r="J62" i="3"/>
  <c r="J62" i="7" s="1"/>
  <c r="I62" i="3"/>
  <c r="I62" i="7" s="1"/>
  <c r="L62" i="3"/>
  <c r="L62" i="7" s="1"/>
  <c r="K62" i="3"/>
  <c r="K62" i="7" s="1"/>
  <c r="I62" i="1"/>
  <c r="H62" i="1"/>
  <c r="K62" i="1"/>
  <c r="J62" i="1"/>
  <c r="U63" i="5"/>
  <c r="T63" i="18" s="1"/>
  <c r="S63" i="5"/>
  <c r="R63" i="18" s="1"/>
  <c r="R63" i="5"/>
  <c r="Q63" i="18" s="1"/>
  <c r="T63" i="5"/>
  <c r="S63" i="18" s="1"/>
  <c r="J64" i="5"/>
  <c r="J64" i="18" s="1"/>
  <c r="I64" i="5"/>
  <c r="I64" i="18" s="1"/>
  <c r="L64" i="5"/>
  <c r="L64" i="18" s="1"/>
  <c r="K64" i="5"/>
  <c r="K64" i="18" s="1"/>
  <c r="Q64" i="1"/>
  <c r="P64" i="6" s="1"/>
  <c r="S64" i="1"/>
  <c r="R64" i="6" s="1"/>
  <c r="T64" i="1"/>
  <c r="S64" i="6" s="1"/>
  <c r="R64" i="1"/>
  <c r="Q64" i="6" s="1"/>
  <c r="R63" i="11"/>
  <c r="C62" i="9"/>
  <c r="C63" i="6"/>
  <c r="R62" i="11"/>
  <c r="C63" i="9"/>
  <c r="C62" i="7"/>
  <c r="C62" i="6"/>
  <c r="L61" i="11"/>
  <c r="C63" i="7"/>
  <c r="H62" i="7"/>
  <c r="D62" i="6"/>
  <c r="G64" i="6"/>
  <c r="J64" i="6"/>
  <c r="I64" i="6"/>
  <c r="H64" i="6"/>
  <c r="K64" i="6"/>
  <c r="H63" i="7"/>
  <c r="D63" i="6"/>
  <c r="E64" i="7"/>
  <c r="X64" i="10"/>
  <c r="E32" i="12"/>
  <c r="N32" i="12"/>
  <c r="K32" i="12"/>
  <c r="D32" i="12"/>
  <c r="M32" i="12"/>
  <c r="F32" i="12"/>
  <c r="H32" i="12"/>
  <c r="J32" i="12"/>
  <c r="G32" i="12"/>
  <c r="L32" i="12"/>
  <c r="I32" i="12"/>
  <c r="C32" i="2"/>
  <c r="U64" i="6"/>
  <c r="P62" i="9"/>
  <c r="H63" i="18"/>
  <c r="D62" i="7"/>
  <c r="G62" i="7"/>
  <c r="D62" i="9"/>
  <c r="P63" i="7"/>
  <c r="P63" i="9"/>
  <c r="H64" i="18"/>
  <c r="D63" i="7"/>
  <c r="G63" i="7"/>
  <c r="P62" i="7"/>
  <c r="H62" i="9"/>
  <c r="D63" i="9"/>
  <c r="P64" i="18"/>
  <c r="D64" i="18"/>
  <c r="E64" i="18"/>
  <c r="C61" i="1"/>
  <c r="D61" i="1"/>
  <c r="C61" i="3"/>
  <c r="D62" i="5"/>
  <c r="D61" i="3"/>
  <c r="C61" i="4"/>
  <c r="C62" i="5"/>
  <c r="C62" i="18" s="1"/>
  <c r="D61" i="4"/>
  <c r="E64" i="9"/>
  <c r="Y64" i="10"/>
  <c r="P63" i="18"/>
  <c r="E63" i="18"/>
  <c r="D63" i="18"/>
  <c r="O62" i="6"/>
  <c r="E64" i="6"/>
  <c r="W64" i="10"/>
  <c r="H63" i="9"/>
  <c r="O63" i="6"/>
  <c r="V64" i="7"/>
  <c r="Q64" i="7"/>
  <c r="T64" i="7"/>
  <c r="S64" i="7"/>
  <c r="R64" i="7"/>
  <c r="B32" i="2"/>
  <c r="P58" i="2"/>
  <c r="Q59" i="2"/>
  <c r="O58" i="2"/>
  <c r="T62" i="10" l="1"/>
  <c r="U62" i="10"/>
  <c r="B61" i="10"/>
  <c r="P61" i="10" s="1"/>
  <c r="C61" i="10"/>
  <c r="Q61" i="10" s="1"/>
  <c r="P60" i="1"/>
  <c r="Q60" i="4"/>
  <c r="H60" i="4"/>
  <c r="E60" i="4"/>
  <c r="G60" i="4"/>
  <c r="G60" i="9" s="1"/>
  <c r="H61" i="5"/>
  <c r="J59" i="11"/>
  <c r="Q61" i="5"/>
  <c r="K60" i="10"/>
  <c r="Q60" i="3"/>
  <c r="E61" i="5"/>
  <c r="G61" i="5"/>
  <c r="G61" i="18" s="1"/>
  <c r="E60" i="1"/>
  <c r="H60" i="3"/>
  <c r="G60" i="3"/>
  <c r="G60" i="1"/>
  <c r="E60" i="3"/>
  <c r="J60" i="10"/>
  <c r="I60" i="10"/>
  <c r="W61" i="1"/>
  <c r="V61" i="1"/>
  <c r="J61" i="4"/>
  <c r="J61" i="9" s="1"/>
  <c r="L61" i="4"/>
  <c r="L61" i="9" s="1"/>
  <c r="I61" i="4"/>
  <c r="I61" i="9" s="1"/>
  <c r="K61" i="4"/>
  <c r="K61" i="9" s="1"/>
  <c r="I61" i="1"/>
  <c r="H61" i="1"/>
  <c r="K61" i="1"/>
  <c r="J61" i="1"/>
  <c r="R62" i="5"/>
  <c r="Q62" i="18" s="1"/>
  <c r="T62" i="5"/>
  <c r="S62" i="18" s="1"/>
  <c r="S62" i="5"/>
  <c r="R62" i="18" s="1"/>
  <c r="U62" i="5"/>
  <c r="T62" i="18" s="1"/>
  <c r="T61" i="3"/>
  <c r="R61" i="3"/>
  <c r="U61" i="3"/>
  <c r="S61" i="3"/>
  <c r="J62" i="5"/>
  <c r="J62" i="18" s="1"/>
  <c r="I62" i="5"/>
  <c r="I62" i="18" s="1"/>
  <c r="K62" i="5"/>
  <c r="K62" i="18" s="1"/>
  <c r="L62" i="5"/>
  <c r="L62" i="18" s="1"/>
  <c r="T61" i="4"/>
  <c r="S61" i="9" s="1"/>
  <c r="R61" i="4"/>
  <c r="Q61" i="9" s="1"/>
  <c r="S61" i="4"/>
  <c r="R61" i="9" s="1"/>
  <c r="U61" i="4"/>
  <c r="T61" i="9" s="1"/>
  <c r="K61" i="3"/>
  <c r="K61" i="7" s="1"/>
  <c r="J61" i="3"/>
  <c r="J61" i="7" s="1"/>
  <c r="L61" i="3"/>
  <c r="L61" i="7" s="1"/>
  <c r="I61" i="3"/>
  <c r="I61" i="7" s="1"/>
  <c r="Q62" i="1"/>
  <c r="P62" i="6" s="1"/>
  <c r="S62" i="1"/>
  <c r="R62" i="6" s="1"/>
  <c r="R62" i="1"/>
  <c r="Q62" i="6" s="1"/>
  <c r="T62" i="1"/>
  <c r="S62" i="6" s="1"/>
  <c r="S63" i="1"/>
  <c r="R63" i="6" s="1"/>
  <c r="Q63" i="1"/>
  <c r="P63" i="6" s="1"/>
  <c r="T63" i="1"/>
  <c r="S63" i="6" s="1"/>
  <c r="R63" i="1"/>
  <c r="Q63" i="6" s="1"/>
  <c r="L62" i="11"/>
  <c r="R61" i="11"/>
  <c r="C61" i="7"/>
  <c r="C61" i="6"/>
  <c r="R60" i="11"/>
  <c r="C61" i="9"/>
  <c r="U62" i="6"/>
  <c r="D61" i="7"/>
  <c r="G61" i="7"/>
  <c r="H61" i="9"/>
  <c r="D61" i="6"/>
  <c r="V63" i="7"/>
  <c r="T63" i="7"/>
  <c r="S63" i="7"/>
  <c r="Q63" i="7"/>
  <c r="R63" i="7"/>
  <c r="E62" i="7"/>
  <c r="X62" i="10"/>
  <c r="E63" i="6"/>
  <c r="W63" i="10"/>
  <c r="C60" i="4"/>
  <c r="D60" i="4"/>
  <c r="D61" i="5"/>
  <c r="C60" i="1"/>
  <c r="C60" i="3"/>
  <c r="C61" i="5"/>
  <c r="C61" i="18" s="1"/>
  <c r="D60" i="3"/>
  <c r="D60" i="1"/>
  <c r="D61" i="9"/>
  <c r="H61" i="7"/>
  <c r="P61" i="9"/>
  <c r="P61" i="7"/>
  <c r="E63" i="7"/>
  <c r="X63" i="10"/>
  <c r="G63" i="6"/>
  <c r="K63" i="6"/>
  <c r="J63" i="6"/>
  <c r="I63" i="6"/>
  <c r="H63" i="6"/>
  <c r="G62" i="6"/>
  <c r="I62" i="6"/>
  <c r="H62" i="6"/>
  <c r="K62" i="6"/>
  <c r="J62" i="6"/>
  <c r="B31" i="2"/>
  <c r="P57" i="2"/>
  <c r="Q58" i="2"/>
  <c r="O57" i="2"/>
  <c r="U63" i="6"/>
  <c r="H62" i="18"/>
  <c r="E62" i="9"/>
  <c r="Y62" i="10"/>
  <c r="H31" i="12"/>
  <c r="F31" i="12"/>
  <c r="K31" i="12"/>
  <c r="E31" i="12"/>
  <c r="J31" i="12"/>
  <c r="D31" i="12"/>
  <c r="I31" i="12"/>
  <c r="N31" i="12"/>
  <c r="G31" i="12"/>
  <c r="M31" i="12"/>
  <c r="L31" i="12"/>
  <c r="C31" i="2"/>
  <c r="P62" i="18"/>
  <c r="D62" i="18"/>
  <c r="E62" i="18"/>
  <c r="O61" i="6"/>
  <c r="E63" i="9"/>
  <c r="Y63" i="10"/>
  <c r="V62" i="7"/>
  <c r="T62" i="7"/>
  <c r="Q62" i="7"/>
  <c r="S62" i="7"/>
  <c r="R62" i="7"/>
  <c r="E62" i="6"/>
  <c r="W62" i="10"/>
  <c r="U63" i="10" l="1"/>
  <c r="T63" i="10"/>
  <c r="B60" i="10"/>
  <c r="P60" i="10" s="1"/>
  <c r="C60" i="10"/>
  <c r="Q60" i="10" s="1"/>
  <c r="P59" i="1"/>
  <c r="Q59" i="4"/>
  <c r="H59" i="4"/>
  <c r="E59" i="4"/>
  <c r="G59" i="4"/>
  <c r="G59" i="9" s="1"/>
  <c r="Q60" i="5"/>
  <c r="Q59" i="3"/>
  <c r="H60" i="5"/>
  <c r="J58" i="11"/>
  <c r="K59" i="10"/>
  <c r="E60" i="5"/>
  <c r="G60" i="5"/>
  <c r="G60" i="18" s="1"/>
  <c r="E59" i="1"/>
  <c r="H59" i="3"/>
  <c r="I59" i="10"/>
  <c r="G59" i="3"/>
  <c r="J59" i="10"/>
  <c r="E59" i="3"/>
  <c r="G59" i="1"/>
  <c r="W60" i="1"/>
  <c r="V60" i="1"/>
  <c r="J60" i="4"/>
  <c r="J60" i="9" s="1"/>
  <c r="I60" i="4"/>
  <c r="I60" i="9" s="1"/>
  <c r="L60" i="4"/>
  <c r="L60" i="9" s="1"/>
  <c r="K60" i="4"/>
  <c r="K60" i="9" s="1"/>
  <c r="J61" i="5"/>
  <c r="J61" i="18" s="1"/>
  <c r="K61" i="5"/>
  <c r="K61" i="18" s="1"/>
  <c r="I61" i="5"/>
  <c r="I61" i="18" s="1"/>
  <c r="L61" i="5"/>
  <c r="L61" i="18" s="1"/>
  <c r="S61" i="5"/>
  <c r="R61" i="18" s="1"/>
  <c r="U61" i="5"/>
  <c r="T61" i="18" s="1"/>
  <c r="T61" i="5"/>
  <c r="S61" i="18" s="1"/>
  <c r="R61" i="5"/>
  <c r="Q61" i="18" s="1"/>
  <c r="I60" i="3"/>
  <c r="I60" i="7" s="1"/>
  <c r="J60" i="3"/>
  <c r="J60" i="7" s="1"/>
  <c r="K60" i="3"/>
  <c r="K60" i="7" s="1"/>
  <c r="L60" i="3"/>
  <c r="L60" i="7" s="1"/>
  <c r="T60" i="3"/>
  <c r="S60" i="3"/>
  <c r="R60" i="3"/>
  <c r="U60" i="3"/>
  <c r="H60" i="1"/>
  <c r="K60" i="1"/>
  <c r="J60" i="1"/>
  <c r="I60" i="1"/>
  <c r="R60" i="4"/>
  <c r="Q60" i="9" s="1"/>
  <c r="U60" i="4"/>
  <c r="T60" i="9" s="1"/>
  <c r="T60" i="4"/>
  <c r="S60" i="9" s="1"/>
  <c r="S60" i="4"/>
  <c r="R60" i="9" s="1"/>
  <c r="T61" i="1"/>
  <c r="S61" i="6" s="1"/>
  <c r="Q61" i="1"/>
  <c r="P61" i="6" s="1"/>
  <c r="S61" i="1"/>
  <c r="R61" i="6" s="1"/>
  <c r="R61" i="1"/>
  <c r="Q61" i="6" s="1"/>
  <c r="L60" i="11"/>
  <c r="C60" i="6"/>
  <c r="L59" i="11"/>
  <c r="C60" i="7"/>
  <c r="C60" i="9"/>
  <c r="G60" i="7"/>
  <c r="D60" i="7"/>
  <c r="H60" i="9"/>
  <c r="P60" i="9"/>
  <c r="E61" i="6"/>
  <c r="W61" i="10"/>
  <c r="E61" i="7"/>
  <c r="X61" i="10"/>
  <c r="D60" i="5"/>
  <c r="C59" i="4"/>
  <c r="D59" i="4"/>
  <c r="C59" i="3"/>
  <c r="C60" i="5"/>
  <c r="C60" i="18" s="1"/>
  <c r="D59" i="3"/>
  <c r="D59" i="1"/>
  <c r="C59" i="1"/>
  <c r="D60" i="6"/>
  <c r="O60" i="6"/>
  <c r="P61" i="18"/>
  <c r="D60" i="9"/>
  <c r="G61" i="6"/>
  <c r="J61" i="6"/>
  <c r="I61" i="6"/>
  <c r="H61" i="6"/>
  <c r="K61" i="6"/>
  <c r="B30" i="2"/>
  <c r="Q57" i="2"/>
  <c r="P56" i="2"/>
  <c r="O56" i="2"/>
  <c r="V61" i="7"/>
  <c r="T61" i="7"/>
  <c r="S61" i="7"/>
  <c r="R61" i="7"/>
  <c r="Q61" i="7"/>
  <c r="H60" i="7"/>
  <c r="D61" i="18"/>
  <c r="E61" i="18"/>
  <c r="U61" i="6"/>
  <c r="E30" i="12"/>
  <c r="D30" i="12"/>
  <c r="N30" i="12"/>
  <c r="H30" i="12"/>
  <c r="G30" i="12"/>
  <c r="L30" i="12"/>
  <c r="I30" i="12"/>
  <c r="F30" i="12"/>
  <c r="K30" i="12"/>
  <c r="M30" i="12"/>
  <c r="J30" i="12"/>
  <c r="C30" i="2"/>
  <c r="E61" i="9"/>
  <c r="Y61" i="10"/>
  <c r="H61" i="18"/>
  <c r="P60" i="7"/>
  <c r="T60" i="10" l="1"/>
  <c r="U60" i="10"/>
  <c r="U61" i="10"/>
  <c r="T61" i="10"/>
  <c r="B59" i="10"/>
  <c r="P59" i="10" s="1"/>
  <c r="C59" i="10"/>
  <c r="Q59" i="10" s="1"/>
  <c r="P58" i="1"/>
  <c r="H58" i="4"/>
  <c r="Q58" i="4"/>
  <c r="G58" i="4"/>
  <c r="G58" i="9" s="1"/>
  <c r="E58" i="4"/>
  <c r="Q59" i="5"/>
  <c r="J57" i="11"/>
  <c r="K58" i="10"/>
  <c r="H59" i="5"/>
  <c r="Q58" i="3"/>
  <c r="H58" i="3"/>
  <c r="E59" i="5"/>
  <c r="E58" i="1"/>
  <c r="G59" i="5"/>
  <c r="G59" i="18" s="1"/>
  <c r="J58" i="10"/>
  <c r="G58" i="3"/>
  <c r="I58" i="10"/>
  <c r="G58" i="1"/>
  <c r="E58" i="3"/>
  <c r="W59" i="1"/>
  <c r="V59" i="1"/>
  <c r="J59" i="4"/>
  <c r="J59" i="9" s="1"/>
  <c r="I59" i="4"/>
  <c r="I59" i="9" s="1"/>
  <c r="K59" i="4"/>
  <c r="K59" i="9" s="1"/>
  <c r="L59" i="4"/>
  <c r="L59" i="9" s="1"/>
  <c r="J60" i="5"/>
  <c r="J60" i="18" s="1"/>
  <c r="I60" i="5"/>
  <c r="I60" i="18" s="1"/>
  <c r="L60" i="5"/>
  <c r="L60" i="18" s="1"/>
  <c r="K60" i="5"/>
  <c r="K60" i="18" s="1"/>
  <c r="U60" i="5"/>
  <c r="T60" i="18" s="1"/>
  <c r="R60" i="5"/>
  <c r="Q60" i="18" s="1"/>
  <c r="T60" i="5"/>
  <c r="S60" i="18" s="1"/>
  <c r="S60" i="5"/>
  <c r="R60" i="18" s="1"/>
  <c r="R59" i="4"/>
  <c r="Q59" i="9" s="1"/>
  <c r="S59" i="4"/>
  <c r="R59" i="9" s="1"/>
  <c r="U59" i="4"/>
  <c r="T59" i="9" s="1"/>
  <c r="T59" i="4"/>
  <c r="S59" i="9" s="1"/>
  <c r="J59" i="3"/>
  <c r="J59" i="7" s="1"/>
  <c r="I59" i="3"/>
  <c r="I59" i="7" s="1"/>
  <c r="L59" i="3"/>
  <c r="L59" i="7" s="1"/>
  <c r="K59" i="3"/>
  <c r="K59" i="7" s="1"/>
  <c r="U59" i="3"/>
  <c r="T59" i="3"/>
  <c r="S59" i="3"/>
  <c r="R59" i="7" s="1"/>
  <c r="R59" i="3"/>
  <c r="I59" i="1"/>
  <c r="H59" i="1"/>
  <c r="K59" i="1"/>
  <c r="J59" i="1"/>
  <c r="R60" i="1"/>
  <c r="Q60" i="6" s="1"/>
  <c r="T60" i="1"/>
  <c r="S60" i="6" s="1"/>
  <c r="Q60" i="1"/>
  <c r="P60" i="6" s="1"/>
  <c r="S60" i="1"/>
  <c r="R60" i="6" s="1"/>
  <c r="R59" i="11"/>
  <c r="C59" i="6"/>
  <c r="C59" i="7"/>
  <c r="C59" i="9"/>
  <c r="K29" i="12"/>
  <c r="D29" i="12"/>
  <c r="H29" i="12"/>
  <c r="M29" i="12"/>
  <c r="L29" i="12"/>
  <c r="F29" i="12"/>
  <c r="E29" i="12"/>
  <c r="J29" i="12"/>
  <c r="G29" i="12"/>
  <c r="I29" i="12"/>
  <c r="N29" i="12"/>
  <c r="C29" i="2"/>
  <c r="P59" i="7"/>
  <c r="H59" i="7"/>
  <c r="C59" i="5"/>
  <c r="C59" i="18" s="1"/>
  <c r="D58" i="4"/>
  <c r="C58" i="3"/>
  <c r="C58" i="4"/>
  <c r="C58" i="1"/>
  <c r="D59" i="5"/>
  <c r="D58" i="3"/>
  <c r="D58" i="1"/>
  <c r="E60" i="6"/>
  <c r="W60" i="10"/>
  <c r="D59" i="6"/>
  <c r="O59" i="6"/>
  <c r="P60" i="18"/>
  <c r="D60" i="18"/>
  <c r="E60" i="18"/>
  <c r="E60" i="7"/>
  <c r="X60" i="10"/>
  <c r="V60" i="7"/>
  <c r="R60" i="7"/>
  <c r="Q60" i="7"/>
  <c r="T60" i="7"/>
  <c r="S60" i="7"/>
  <c r="E60" i="9"/>
  <c r="Y60" i="10"/>
  <c r="P59" i="9"/>
  <c r="B29" i="2"/>
  <c r="O55" i="2"/>
  <c r="P55" i="2"/>
  <c r="Q56" i="2"/>
  <c r="U60" i="6"/>
  <c r="G60" i="6"/>
  <c r="H60" i="6"/>
  <c r="K60" i="6"/>
  <c r="J60" i="6"/>
  <c r="I60" i="6"/>
  <c r="H60" i="18"/>
  <c r="G59" i="7"/>
  <c r="D59" i="7"/>
  <c r="D59" i="9"/>
  <c r="H59" i="9"/>
  <c r="B58" i="10" l="1"/>
  <c r="P58" i="10" s="1"/>
  <c r="C58" i="10"/>
  <c r="Q58" i="10" s="1"/>
  <c r="P57" i="1"/>
  <c r="H57" i="4"/>
  <c r="Q57" i="4"/>
  <c r="E57" i="4"/>
  <c r="G57" i="4"/>
  <c r="G57" i="9" s="1"/>
  <c r="H58" i="5"/>
  <c r="J56" i="11"/>
  <c r="K57" i="10"/>
  <c r="Q58" i="5"/>
  <c r="Q57" i="3"/>
  <c r="G58" i="5"/>
  <c r="G58" i="18" s="1"/>
  <c r="E57" i="1"/>
  <c r="E58" i="5"/>
  <c r="G57" i="3"/>
  <c r="I57" i="10"/>
  <c r="G57" i="1"/>
  <c r="E57" i="3"/>
  <c r="J57" i="10"/>
  <c r="H57" i="3"/>
  <c r="V58" i="1"/>
  <c r="W58" i="1"/>
  <c r="J59" i="5"/>
  <c r="J59" i="18" s="1"/>
  <c r="I59" i="5"/>
  <c r="I59" i="18" s="1"/>
  <c r="L59" i="5"/>
  <c r="L59" i="18" s="1"/>
  <c r="K59" i="5"/>
  <c r="K59" i="18" s="1"/>
  <c r="J58" i="4"/>
  <c r="J58" i="9" s="1"/>
  <c r="L58" i="4"/>
  <c r="L58" i="9" s="1"/>
  <c r="K58" i="4"/>
  <c r="K58" i="9" s="1"/>
  <c r="I58" i="4"/>
  <c r="I58" i="9" s="1"/>
  <c r="U59" i="5"/>
  <c r="T59" i="18" s="1"/>
  <c r="S59" i="5"/>
  <c r="R59" i="18" s="1"/>
  <c r="T59" i="5"/>
  <c r="S59" i="18" s="1"/>
  <c r="R59" i="5"/>
  <c r="Q59" i="18" s="1"/>
  <c r="R58" i="3"/>
  <c r="U58" i="3"/>
  <c r="S58" i="3"/>
  <c r="T58" i="3"/>
  <c r="K58" i="3"/>
  <c r="K58" i="7" s="1"/>
  <c r="J58" i="3"/>
  <c r="J58" i="7" s="1"/>
  <c r="L58" i="3"/>
  <c r="L58" i="7" s="1"/>
  <c r="I58" i="3"/>
  <c r="I58" i="7" s="1"/>
  <c r="I58" i="1"/>
  <c r="H58" i="1"/>
  <c r="K58" i="1"/>
  <c r="J58" i="1"/>
  <c r="S58" i="4"/>
  <c r="R58" i="9" s="1"/>
  <c r="T58" i="4"/>
  <c r="S58" i="9" s="1"/>
  <c r="R58" i="4"/>
  <c r="Q58" i="9" s="1"/>
  <c r="U58" i="4"/>
  <c r="T58" i="9" s="1"/>
  <c r="Q59" i="1"/>
  <c r="P59" i="6" s="1"/>
  <c r="S59" i="1"/>
  <c r="R59" i="6" s="1"/>
  <c r="R59" i="1"/>
  <c r="Q59" i="6" s="1"/>
  <c r="T59" i="1"/>
  <c r="S59" i="6" s="1"/>
  <c r="L58" i="11"/>
  <c r="C58" i="9"/>
  <c r="R58" i="11"/>
  <c r="C58" i="6"/>
  <c r="L57" i="11"/>
  <c r="C58" i="7"/>
  <c r="E59" i="9"/>
  <c r="Y59" i="10"/>
  <c r="E28" i="12"/>
  <c r="G28" i="12"/>
  <c r="L28" i="12"/>
  <c r="M28" i="12"/>
  <c r="F28" i="12"/>
  <c r="K28" i="12"/>
  <c r="J28" i="12"/>
  <c r="D28" i="12"/>
  <c r="N28" i="12"/>
  <c r="H28" i="12"/>
  <c r="I28" i="12"/>
  <c r="C28" i="2"/>
  <c r="U59" i="6"/>
  <c r="H58" i="7"/>
  <c r="P58" i="9"/>
  <c r="T59" i="7"/>
  <c r="C57" i="4"/>
  <c r="C57" i="1"/>
  <c r="D58" i="5"/>
  <c r="C58" i="5"/>
  <c r="C58" i="18" s="1"/>
  <c r="D57" i="3"/>
  <c r="C57" i="3"/>
  <c r="D57" i="1"/>
  <c r="D57" i="4"/>
  <c r="B28" i="2"/>
  <c r="O54" i="2"/>
  <c r="Q55" i="2"/>
  <c r="P54" i="2"/>
  <c r="G59" i="6"/>
  <c r="J59" i="6"/>
  <c r="I59" i="6"/>
  <c r="H59" i="6"/>
  <c r="K59" i="6"/>
  <c r="D58" i="7"/>
  <c r="G58" i="7"/>
  <c r="H59" i="18"/>
  <c r="P59" i="18"/>
  <c r="E59" i="7"/>
  <c r="X59" i="10"/>
  <c r="E59" i="6"/>
  <c r="W59" i="10"/>
  <c r="D58" i="6"/>
  <c r="H58" i="9"/>
  <c r="D58" i="9"/>
  <c r="E59" i="18"/>
  <c r="D59" i="18"/>
  <c r="O58" i="6"/>
  <c r="P58" i="7"/>
  <c r="V59" i="7"/>
  <c r="S59" i="7"/>
  <c r="Q59" i="7"/>
  <c r="T58" i="10" l="1"/>
  <c r="U58" i="10"/>
  <c r="U59" i="10"/>
  <c r="T59" i="10"/>
  <c r="C57" i="10"/>
  <c r="Q57" i="10" s="1"/>
  <c r="B57" i="10"/>
  <c r="P57" i="10" s="1"/>
  <c r="P56" i="1"/>
  <c r="Q56" i="4"/>
  <c r="H56" i="4"/>
  <c r="E56" i="4"/>
  <c r="G56" i="4"/>
  <c r="G56" i="9" s="1"/>
  <c r="Q56" i="3"/>
  <c r="K56" i="10"/>
  <c r="H57" i="5"/>
  <c r="Q57" i="5"/>
  <c r="J55" i="11"/>
  <c r="G57" i="5"/>
  <c r="G57" i="18" s="1"/>
  <c r="E56" i="1"/>
  <c r="H56" i="3"/>
  <c r="E57" i="5"/>
  <c r="G56" i="3"/>
  <c r="I56" i="10"/>
  <c r="E56" i="3"/>
  <c r="J56" i="10"/>
  <c r="G56" i="1"/>
  <c r="W57" i="1"/>
  <c r="V57" i="1"/>
  <c r="J58" i="5"/>
  <c r="J58" i="18" s="1"/>
  <c r="I58" i="5"/>
  <c r="I58" i="18" s="1"/>
  <c r="L58" i="5"/>
  <c r="L58" i="18" s="1"/>
  <c r="K58" i="5"/>
  <c r="K58" i="18" s="1"/>
  <c r="I57" i="3"/>
  <c r="I57" i="7" s="1"/>
  <c r="J57" i="3"/>
  <c r="J57" i="7" s="1"/>
  <c r="L57" i="3"/>
  <c r="L57" i="7" s="1"/>
  <c r="K57" i="3"/>
  <c r="K57" i="7" s="1"/>
  <c r="S57" i="4"/>
  <c r="R57" i="9" s="1"/>
  <c r="U57" i="4"/>
  <c r="T57" i="9" s="1"/>
  <c r="T57" i="4"/>
  <c r="S57" i="9" s="1"/>
  <c r="R57" i="4"/>
  <c r="Q57" i="9" s="1"/>
  <c r="I57" i="1"/>
  <c r="H57" i="1"/>
  <c r="K57" i="1"/>
  <c r="J57" i="1"/>
  <c r="T57" i="3"/>
  <c r="S57" i="3"/>
  <c r="U57" i="3"/>
  <c r="R57" i="3"/>
  <c r="I57" i="4"/>
  <c r="I57" i="9" s="1"/>
  <c r="J57" i="4"/>
  <c r="J57" i="9" s="1"/>
  <c r="L57" i="4"/>
  <c r="L57" i="9" s="1"/>
  <c r="K57" i="4"/>
  <c r="K57" i="9" s="1"/>
  <c r="R58" i="5"/>
  <c r="Q58" i="18" s="1"/>
  <c r="T58" i="5"/>
  <c r="S58" i="18" s="1"/>
  <c r="U58" i="5"/>
  <c r="T58" i="18" s="1"/>
  <c r="S58" i="5"/>
  <c r="R58" i="18" s="1"/>
  <c r="S58" i="1"/>
  <c r="R58" i="6" s="1"/>
  <c r="R58" i="1"/>
  <c r="Q58" i="6" s="1"/>
  <c r="T58" i="1"/>
  <c r="S58" i="6" s="1"/>
  <c r="Q58" i="1"/>
  <c r="P58" i="6" s="1"/>
  <c r="R57" i="11"/>
  <c r="C57" i="6"/>
  <c r="C57" i="9"/>
  <c r="C57" i="7"/>
  <c r="E58" i="6"/>
  <c r="W58" i="10"/>
  <c r="D57" i="7"/>
  <c r="G57" i="7"/>
  <c r="G27" i="12"/>
  <c r="L27" i="12"/>
  <c r="D27" i="12"/>
  <c r="F27" i="12"/>
  <c r="E27" i="12"/>
  <c r="J27" i="12"/>
  <c r="I27" i="12"/>
  <c r="N27" i="12"/>
  <c r="K27" i="12"/>
  <c r="H27" i="12"/>
  <c r="M27" i="12"/>
  <c r="C27" i="2"/>
  <c r="H57" i="7"/>
  <c r="O57" i="6"/>
  <c r="P58" i="18"/>
  <c r="V58" i="7"/>
  <c r="S58" i="7"/>
  <c r="R58" i="7"/>
  <c r="Q58" i="7"/>
  <c r="T58" i="7"/>
  <c r="U58" i="6"/>
  <c r="G58" i="6"/>
  <c r="I58" i="6"/>
  <c r="J58" i="6"/>
  <c r="H58" i="6"/>
  <c r="K58" i="6"/>
  <c r="B27" i="2"/>
  <c r="Q54" i="2"/>
  <c r="P53" i="2"/>
  <c r="O53" i="2"/>
  <c r="H57" i="9"/>
  <c r="H58" i="18"/>
  <c r="E58" i="9"/>
  <c r="Y58" i="10"/>
  <c r="E58" i="7"/>
  <c r="X58" i="10"/>
  <c r="D56" i="4"/>
  <c r="C56" i="3"/>
  <c r="C56" i="4"/>
  <c r="D56" i="1"/>
  <c r="C57" i="5"/>
  <c r="C57" i="18" s="1"/>
  <c r="D56" i="3"/>
  <c r="D57" i="5"/>
  <c r="C56" i="1"/>
  <c r="D57" i="6"/>
  <c r="P57" i="9"/>
  <c r="D57" i="9"/>
  <c r="P57" i="7"/>
  <c r="E58" i="18"/>
  <c r="D58" i="18"/>
  <c r="B56" i="10" l="1"/>
  <c r="P56" i="10" s="1"/>
  <c r="C56" i="10"/>
  <c r="Q56" i="10" s="1"/>
  <c r="W56" i="1"/>
  <c r="V56" i="1"/>
  <c r="P55" i="1"/>
  <c r="H55" i="4"/>
  <c r="Q55" i="4"/>
  <c r="G55" i="4"/>
  <c r="G55" i="9" s="1"/>
  <c r="E55" i="4"/>
  <c r="K55" i="10"/>
  <c r="Q56" i="5"/>
  <c r="H56" i="5"/>
  <c r="Q55" i="3"/>
  <c r="J54" i="11"/>
  <c r="G56" i="5"/>
  <c r="G56" i="18" s="1"/>
  <c r="E55" i="1"/>
  <c r="E56" i="5"/>
  <c r="H55" i="3"/>
  <c r="G55" i="3"/>
  <c r="J55" i="10"/>
  <c r="I55" i="10"/>
  <c r="G55" i="1"/>
  <c r="E55" i="3"/>
  <c r="H56" i="1"/>
  <c r="J56" i="1"/>
  <c r="K56" i="1"/>
  <c r="I56" i="1"/>
  <c r="J56" i="3"/>
  <c r="J56" i="7" s="1"/>
  <c r="I56" i="3"/>
  <c r="I56" i="7" s="1"/>
  <c r="L56" i="3"/>
  <c r="L56" i="7" s="1"/>
  <c r="K56" i="3"/>
  <c r="K56" i="7" s="1"/>
  <c r="U56" i="4"/>
  <c r="T56" i="9" s="1"/>
  <c r="R56" i="4"/>
  <c r="Q56" i="9" s="1"/>
  <c r="S56" i="4"/>
  <c r="R56" i="9" s="1"/>
  <c r="T56" i="4"/>
  <c r="S56" i="9" s="1"/>
  <c r="U56" i="3"/>
  <c r="R56" i="3"/>
  <c r="T56" i="3"/>
  <c r="S56" i="3"/>
  <c r="R57" i="5"/>
  <c r="Q57" i="18" s="1"/>
  <c r="S57" i="5"/>
  <c r="R57" i="18" s="1"/>
  <c r="T57" i="5"/>
  <c r="S57" i="18" s="1"/>
  <c r="U57" i="5"/>
  <c r="T57" i="18" s="1"/>
  <c r="J56" i="4"/>
  <c r="J56" i="9" s="1"/>
  <c r="I56" i="4"/>
  <c r="I56" i="9" s="1"/>
  <c r="L56" i="4"/>
  <c r="L56" i="9" s="1"/>
  <c r="K56" i="4"/>
  <c r="K56" i="9" s="1"/>
  <c r="J57" i="5"/>
  <c r="J57" i="18" s="1"/>
  <c r="K57" i="5"/>
  <c r="K57" i="18" s="1"/>
  <c r="I57" i="5"/>
  <c r="I57" i="18" s="1"/>
  <c r="L57" i="5"/>
  <c r="L57" i="18" s="1"/>
  <c r="Q57" i="1"/>
  <c r="P57" i="6" s="1"/>
  <c r="S57" i="1"/>
  <c r="R57" i="6" s="1"/>
  <c r="T57" i="1"/>
  <c r="S57" i="6" s="1"/>
  <c r="R57" i="1"/>
  <c r="Q57" i="6" s="1"/>
  <c r="R56" i="11"/>
  <c r="L56" i="11"/>
  <c r="C56" i="9"/>
  <c r="C56" i="6"/>
  <c r="C56" i="7"/>
  <c r="H57" i="18"/>
  <c r="P56" i="7"/>
  <c r="H56" i="7"/>
  <c r="C55" i="1"/>
  <c r="D55" i="1"/>
  <c r="C56" i="5"/>
  <c r="C56" i="18" s="1"/>
  <c r="C55" i="3"/>
  <c r="C55" i="4"/>
  <c r="D55" i="3"/>
  <c r="D56" i="5"/>
  <c r="D55" i="4"/>
  <c r="E57" i="6"/>
  <c r="W57" i="10"/>
  <c r="E57" i="9"/>
  <c r="Y57" i="10"/>
  <c r="G57" i="6"/>
  <c r="K57" i="6"/>
  <c r="J57" i="6"/>
  <c r="H57" i="6"/>
  <c r="I57" i="6"/>
  <c r="D56" i="6"/>
  <c r="O56" i="6"/>
  <c r="D56" i="9"/>
  <c r="E57" i="18"/>
  <c r="D57" i="18"/>
  <c r="G56" i="7"/>
  <c r="D56" i="7"/>
  <c r="P57" i="18"/>
  <c r="H56" i="9"/>
  <c r="B26" i="2"/>
  <c r="O52" i="2"/>
  <c r="Q53" i="2"/>
  <c r="P52" i="2"/>
  <c r="U57" i="6"/>
  <c r="E57" i="7"/>
  <c r="X57" i="10"/>
  <c r="V57" i="7"/>
  <c r="S57" i="7"/>
  <c r="R57" i="7"/>
  <c r="Q57" i="7"/>
  <c r="T57" i="7"/>
  <c r="P56" i="9"/>
  <c r="F26" i="12"/>
  <c r="E26" i="12"/>
  <c r="K26" i="12"/>
  <c r="I26" i="12"/>
  <c r="H26" i="12"/>
  <c r="M26" i="12"/>
  <c r="G26" i="12"/>
  <c r="L26" i="12"/>
  <c r="D26" i="12"/>
  <c r="J26" i="12"/>
  <c r="N26" i="12"/>
  <c r="C26" i="2"/>
  <c r="T57" i="10" l="1"/>
  <c r="U57" i="10"/>
  <c r="B55" i="10"/>
  <c r="P55" i="10" s="1"/>
  <c r="C55" i="10"/>
  <c r="Q55" i="10" s="1"/>
  <c r="V55" i="1"/>
  <c r="W55" i="1"/>
  <c r="P54" i="1"/>
  <c r="H54" i="4"/>
  <c r="Q54" i="4"/>
  <c r="G54" i="4"/>
  <c r="G54" i="9" s="1"/>
  <c r="E54" i="4"/>
  <c r="K54" i="10"/>
  <c r="Q54" i="3"/>
  <c r="J53" i="11"/>
  <c r="H55" i="5"/>
  <c r="Q55" i="5"/>
  <c r="E55" i="5"/>
  <c r="H54" i="3"/>
  <c r="G55" i="5"/>
  <c r="G55" i="18" s="1"/>
  <c r="E54" i="1"/>
  <c r="G54" i="3"/>
  <c r="I54" i="10"/>
  <c r="G54" i="1"/>
  <c r="E54" i="3"/>
  <c r="J54" i="10"/>
  <c r="I55" i="1"/>
  <c r="H55" i="1"/>
  <c r="K55" i="1"/>
  <c r="J55" i="1"/>
  <c r="U55" i="4"/>
  <c r="T55" i="9" s="1"/>
  <c r="R55" i="4"/>
  <c r="Q55" i="9" s="1"/>
  <c r="S55" i="4"/>
  <c r="R55" i="9" s="1"/>
  <c r="T55" i="4"/>
  <c r="S55" i="9" s="1"/>
  <c r="I55" i="3"/>
  <c r="I55" i="7" s="1"/>
  <c r="J55" i="3"/>
  <c r="J55" i="7" s="1"/>
  <c r="L55" i="3"/>
  <c r="L55" i="7" s="1"/>
  <c r="K55" i="3"/>
  <c r="K55" i="7" s="1"/>
  <c r="U55" i="3"/>
  <c r="T55" i="3"/>
  <c r="S55" i="3"/>
  <c r="R55" i="3"/>
  <c r="J56" i="5"/>
  <c r="J56" i="18" s="1"/>
  <c r="K56" i="5"/>
  <c r="K56" i="18" s="1"/>
  <c r="I56" i="5"/>
  <c r="I56" i="18" s="1"/>
  <c r="L56" i="5"/>
  <c r="L56" i="18" s="1"/>
  <c r="I55" i="4"/>
  <c r="I55" i="9" s="1"/>
  <c r="K55" i="4"/>
  <c r="K55" i="9" s="1"/>
  <c r="L55" i="4"/>
  <c r="L55" i="9" s="1"/>
  <c r="J55" i="4"/>
  <c r="J55" i="9" s="1"/>
  <c r="R56" i="5"/>
  <c r="Q56" i="18" s="1"/>
  <c r="T56" i="5"/>
  <c r="S56" i="18" s="1"/>
  <c r="S56" i="5"/>
  <c r="R56" i="18" s="1"/>
  <c r="U56" i="5"/>
  <c r="T56" i="18" s="1"/>
  <c r="R56" i="1"/>
  <c r="Q56" i="6" s="1"/>
  <c r="T56" i="1"/>
  <c r="S56" i="6" s="1"/>
  <c r="S56" i="1"/>
  <c r="R56" i="6" s="1"/>
  <c r="Q56" i="1"/>
  <c r="P56" i="6" s="1"/>
  <c r="L55" i="11"/>
  <c r="R55" i="11"/>
  <c r="C55" i="7"/>
  <c r="C55" i="6"/>
  <c r="R54" i="11"/>
  <c r="C55" i="9"/>
  <c r="G56" i="6"/>
  <c r="I56" i="6"/>
  <c r="J56" i="6"/>
  <c r="H56" i="6"/>
  <c r="K56" i="6"/>
  <c r="H55" i="7"/>
  <c r="P56" i="18"/>
  <c r="D55" i="6"/>
  <c r="G25" i="12"/>
  <c r="L25" i="12"/>
  <c r="M25" i="12"/>
  <c r="F25" i="12"/>
  <c r="K25" i="12"/>
  <c r="E25" i="12"/>
  <c r="D25" i="12"/>
  <c r="J25" i="12"/>
  <c r="H25" i="12"/>
  <c r="I25" i="12"/>
  <c r="N25" i="12"/>
  <c r="C25" i="2"/>
  <c r="E56" i="7"/>
  <c r="X56" i="10"/>
  <c r="U56" i="6"/>
  <c r="H55" i="9"/>
  <c r="D55" i="9"/>
  <c r="D55" i="7"/>
  <c r="G55" i="7"/>
  <c r="O55" i="6"/>
  <c r="P55" i="9"/>
  <c r="B25" i="2"/>
  <c r="Q52" i="2"/>
  <c r="O51" i="2"/>
  <c r="P51" i="2"/>
  <c r="E56" i="9"/>
  <c r="Y56" i="10"/>
  <c r="P55" i="7"/>
  <c r="E56" i="18"/>
  <c r="D56" i="18"/>
  <c r="V56" i="7"/>
  <c r="T56" i="7"/>
  <c r="S56" i="7"/>
  <c r="R56" i="7"/>
  <c r="Q56" i="7"/>
  <c r="C54" i="1"/>
  <c r="D54" i="3"/>
  <c r="D54" i="1"/>
  <c r="C54" i="4"/>
  <c r="C54" i="3"/>
  <c r="D55" i="5"/>
  <c r="C55" i="5"/>
  <c r="C55" i="18" s="1"/>
  <c r="D54" i="4"/>
  <c r="E56" i="6"/>
  <c r="W56" i="10"/>
  <c r="H56" i="18"/>
  <c r="U56" i="10" l="1"/>
  <c r="T56" i="10"/>
  <c r="B54" i="10"/>
  <c r="P54" i="10" s="1"/>
  <c r="C54" i="10"/>
  <c r="Q54" i="10" s="1"/>
  <c r="P53" i="1"/>
  <c r="H53" i="4"/>
  <c r="Q53" i="4"/>
  <c r="E53" i="4"/>
  <c r="G53" i="4"/>
  <c r="G53" i="9" s="1"/>
  <c r="Q54" i="5"/>
  <c r="K53" i="10"/>
  <c r="Q53" i="3"/>
  <c r="H54" i="5"/>
  <c r="J52" i="11"/>
  <c r="E54" i="5"/>
  <c r="G54" i="5"/>
  <c r="G54" i="18" s="1"/>
  <c r="H53" i="3"/>
  <c r="E53" i="1"/>
  <c r="I53" i="10"/>
  <c r="G53" i="3"/>
  <c r="G53" i="1"/>
  <c r="J53" i="10"/>
  <c r="E53" i="3"/>
  <c r="V54" i="1"/>
  <c r="W54" i="1"/>
  <c r="J54" i="4"/>
  <c r="J54" i="9" s="1"/>
  <c r="I54" i="4"/>
  <c r="I54" i="9" s="1"/>
  <c r="K54" i="4"/>
  <c r="K54" i="9" s="1"/>
  <c r="L54" i="4"/>
  <c r="L54" i="9" s="1"/>
  <c r="U55" i="5"/>
  <c r="T55" i="18" s="1"/>
  <c r="T55" i="5"/>
  <c r="S55" i="18" s="1"/>
  <c r="R55" i="5"/>
  <c r="Q55" i="18" s="1"/>
  <c r="S55" i="5"/>
  <c r="R55" i="18" s="1"/>
  <c r="K54" i="3"/>
  <c r="K54" i="7" s="1"/>
  <c r="J54" i="3"/>
  <c r="J54" i="7" s="1"/>
  <c r="L54" i="3"/>
  <c r="L54" i="7" s="1"/>
  <c r="I54" i="3"/>
  <c r="I54" i="7" s="1"/>
  <c r="I54" i="1"/>
  <c r="H54" i="1"/>
  <c r="K54" i="1"/>
  <c r="J54" i="1"/>
  <c r="T54" i="4"/>
  <c r="S54" i="9" s="1"/>
  <c r="R54" i="4"/>
  <c r="Q54" i="9" s="1"/>
  <c r="U54" i="4"/>
  <c r="T54" i="9" s="1"/>
  <c r="S54" i="4"/>
  <c r="R54" i="9" s="1"/>
  <c r="K55" i="5"/>
  <c r="K55" i="18" s="1"/>
  <c r="J55" i="5"/>
  <c r="J55" i="18" s="1"/>
  <c r="L55" i="5"/>
  <c r="L55" i="18" s="1"/>
  <c r="I55" i="5"/>
  <c r="I55" i="18" s="1"/>
  <c r="T54" i="3"/>
  <c r="S54" i="3"/>
  <c r="U54" i="3"/>
  <c r="R54" i="3"/>
  <c r="R55" i="1"/>
  <c r="Q55" i="6" s="1"/>
  <c r="S55" i="1"/>
  <c r="R55" i="6" s="1"/>
  <c r="T55" i="1"/>
  <c r="S55" i="6" s="1"/>
  <c r="Q55" i="1"/>
  <c r="P55" i="6" s="1"/>
  <c r="L54" i="11"/>
  <c r="C54" i="7"/>
  <c r="C54" i="9"/>
  <c r="C54" i="6"/>
  <c r="R53" i="11"/>
  <c r="D54" i="9"/>
  <c r="H55" i="18"/>
  <c r="P54" i="7"/>
  <c r="H54" i="9"/>
  <c r="V55" i="7"/>
  <c r="R55" i="7"/>
  <c r="Q55" i="7"/>
  <c r="T55" i="7"/>
  <c r="S55" i="7"/>
  <c r="E55" i="6"/>
  <c r="W55" i="10"/>
  <c r="G54" i="7"/>
  <c r="D54" i="7"/>
  <c r="E24" i="12"/>
  <c r="F24" i="12"/>
  <c r="D24" i="12"/>
  <c r="G24" i="12"/>
  <c r="L24" i="12"/>
  <c r="M24" i="12"/>
  <c r="J24" i="12"/>
  <c r="K24" i="12"/>
  <c r="N24" i="12"/>
  <c r="H24" i="12"/>
  <c r="I24" i="12"/>
  <c r="C24" i="2"/>
  <c r="E55" i="7"/>
  <c r="X55" i="10"/>
  <c r="G55" i="6"/>
  <c r="I55" i="6"/>
  <c r="J55" i="6"/>
  <c r="H55" i="6"/>
  <c r="K55" i="6"/>
  <c r="E55" i="18"/>
  <c r="D55" i="18"/>
  <c r="P54" i="9"/>
  <c r="D54" i="6"/>
  <c r="D53" i="3"/>
  <c r="D54" i="5"/>
  <c r="D53" i="1"/>
  <c r="D53" i="4"/>
  <c r="C53" i="4"/>
  <c r="C54" i="5"/>
  <c r="C54" i="18" s="1"/>
  <c r="C53" i="1"/>
  <c r="C53" i="3"/>
  <c r="E55" i="9"/>
  <c r="Y55" i="10"/>
  <c r="P55" i="18"/>
  <c r="H54" i="7"/>
  <c r="O54" i="6"/>
  <c r="B24" i="2"/>
  <c r="Q51" i="2"/>
  <c r="P50" i="2"/>
  <c r="O50" i="2"/>
  <c r="U55" i="6"/>
  <c r="U55" i="10" l="1"/>
  <c r="T55" i="10"/>
  <c r="B53" i="10"/>
  <c r="P53" i="10" s="1"/>
  <c r="C53" i="10"/>
  <c r="Q53" i="10" s="1"/>
  <c r="P52" i="1"/>
  <c r="H52" i="4"/>
  <c r="Q52" i="4"/>
  <c r="E52" i="4"/>
  <c r="G52" i="4"/>
  <c r="G52" i="9" s="1"/>
  <c r="K52" i="10"/>
  <c r="Q53" i="5"/>
  <c r="Q52" i="3"/>
  <c r="H53" i="5"/>
  <c r="J51" i="11"/>
  <c r="E52" i="1"/>
  <c r="H52" i="3"/>
  <c r="G53" i="5"/>
  <c r="G53" i="18" s="1"/>
  <c r="E53" i="5"/>
  <c r="G52" i="3"/>
  <c r="I52" i="10"/>
  <c r="G52" i="1"/>
  <c r="E52" i="3"/>
  <c r="J52" i="10"/>
  <c r="W53" i="1"/>
  <c r="V53" i="1"/>
  <c r="J53" i="3"/>
  <c r="J53" i="7" s="1"/>
  <c r="I53" i="3"/>
  <c r="I53" i="7" s="1"/>
  <c r="L53" i="3"/>
  <c r="L53" i="7" s="1"/>
  <c r="K53" i="3"/>
  <c r="K53" i="7" s="1"/>
  <c r="J54" i="5"/>
  <c r="J54" i="18" s="1"/>
  <c r="I54" i="5"/>
  <c r="I54" i="18" s="1"/>
  <c r="L54" i="5"/>
  <c r="L54" i="18" s="1"/>
  <c r="K54" i="5"/>
  <c r="K54" i="18" s="1"/>
  <c r="R53" i="3"/>
  <c r="U53" i="3"/>
  <c r="T53" i="3"/>
  <c r="S53" i="3"/>
  <c r="H53" i="1"/>
  <c r="K53" i="1"/>
  <c r="J53" i="1"/>
  <c r="I53" i="1"/>
  <c r="S54" i="5"/>
  <c r="R54" i="18" s="1"/>
  <c r="T54" i="5"/>
  <c r="S54" i="18" s="1"/>
  <c r="U54" i="5"/>
  <c r="T54" i="18" s="1"/>
  <c r="R54" i="5"/>
  <c r="Q54" i="18" s="1"/>
  <c r="R53" i="4"/>
  <c r="Q53" i="9" s="1"/>
  <c r="U53" i="4"/>
  <c r="T53" i="9" s="1"/>
  <c r="S53" i="4"/>
  <c r="R53" i="9" s="1"/>
  <c r="T53" i="4"/>
  <c r="S53" i="9" s="1"/>
  <c r="L53" i="4"/>
  <c r="L53" i="9" s="1"/>
  <c r="I53" i="4"/>
  <c r="I53" i="9" s="1"/>
  <c r="J53" i="4"/>
  <c r="J53" i="9" s="1"/>
  <c r="K53" i="4"/>
  <c r="K53" i="9" s="1"/>
  <c r="T54" i="1"/>
  <c r="S54" i="6" s="1"/>
  <c r="S54" i="1"/>
  <c r="R54" i="6" s="1"/>
  <c r="R54" i="1"/>
  <c r="Q54" i="6" s="1"/>
  <c r="Q54" i="1"/>
  <c r="P54" i="6" s="1"/>
  <c r="L53" i="11"/>
  <c r="C53" i="6"/>
  <c r="L52" i="11"/>
  <c r="C53" i="9"/>
  <c r="C53" i="7"/>
  <c r="H53" i="7"/>
  <c r="D53" i="6"/>
  <c r="H54" i="18"/>
  <c r="D53" i="7"/>
  <c r="G53" i="7"/>
  <c r="E54" i="6"/>
  <c r="W54" i="10"/>
  <c r="B23" i="2"/>
  <c r="O49" i="2"/>
  <c r="Q50" i="2"/>
  <c r="P49" i="2"/>
  <c r="U54" i="6"/>
  <c r="D53" i="9"/>
  <c r="P53" i="7"/>
  <c r="G54" i="6"/>
  <c r="I54" i="6"/>
  <c r="H54" i="6"/>
  <c r="K54" i="6"/>
  <c r="J54" i="6"/>
  <c r="E54" i="7"/>
  <c r="X54" i="10"/>
  <c r="E54" i="9"/>
  <c r="Y54" i="10"/>
  <c r="G23" i="12"/>
  <c r="F23" i="12"/>
  <c r="E23" i="12"/>
  <c r="J23" i="12"/>
  <c r="D23" i="12"/>
  <c r="H23" i="12"/>
  <c r="I23" i="12"/>
  <c r="N23" i="12"/>
  <c r="K23" i="12"/>
  <c r="L23" i="12"/>
  <c r="M23" i="12"/>
  <c r="C23" i="2"/>
  <c r="P54" i="18"/>
  <c r="H53" i="9"/>
  <c r="E54" i="18"/>
  <c r="D54" i="18"/>
  <c r="O53" i="6"/>
  <c r="C52" i="1"/>
  <c r="D52" i="1"/>
  <c r="C52" i="3"/>
  <c r="D52" i="4"/>
  <c r="D52" i="3"/>
  <c r="C52" i="4"/>
  <c r="C53" i="5"/>
  <c r="C53" i="18" s="1"/>
  <c r="D53" i="5"/>
  <c r="P53" i="9"/>
  <c r="V54" i="7"/>
  <c r="R54" i="7"/>
  <c r="Q54" i="7"/>
  <c r="S54" i="7"/>
  <c r="T54" i="7"/>
  <c r="T53" i="10" l="1"/>
  <c r="U53" i="10"/>
  <c r="T54" i="10"/>
  <c r="U54" i="10"/>
  <c r="B52" i="10"/>
  <c r="C52" i="10"/>
  <c r="Q52" i="10" s="1"/>
  <c r="V52" i="1"/>
  <c r="W52" i="1"/>
  <c r="P51" i="1"/>
  <c r="H51" i="4"/>
  <c r="Q51" i="4"/>
  <c r="E51" i="4"/>
  <c r="G51" i="4"/>
  <c r="G51" i="9" s="1"/>
  <c r="Q52" i="5"/>
  <c r="H52" i="5"/>
  <c r="K51" i="10"/>
  <c r="Q51" i="3"/>
  <c r="J50" i="11"/>
  <c r="E52" i="5"/>
  <c r="I51" i="10"/>
  <c r="E51" i="1"/>
  <c r="G52" i="5"/>
  <c r="G52" i="18" s="1"/>
  <c r="G51" i="3"/>
  <c r="H51" i="3"/>
  <c r="G51" i="1"/>
  <c r="J51" i="10"/>
  <c r="E51" i="3"/>
  <c r="S53" i="5"/>
  <c r="R53" i="18" s="1"/>
  <c r="T53" i="5"/>
  <c r="S53" i="18" s="1"/>
  <c r="R53" i="5"/>
  <c r="Q53" i="18" s="1"/>
  <c r="U53" i="5"/>
  <c r="T53" i="18" s="1"/>
  <c r="K52" i="3"/>
  <c r="K52" i="7" s="1"/>
  <c r="J52" i="3"/>
  <c r="J52" i="7" s="1"/>
  <c r="L52" i="3"/>
  <c r="L52" i="7" s="1"/>
  <c r="I52" i="3"/>
  <c r="I52" i="7" s="1"/>
  <c r="I52" i="1"/>
  <c r="H52" i="1"/>
  <c r="K52" i="1"/>
  <c r="J52" i="1"/>
  <c r="U52" i="4"/>
  <c r="T52" i="9" s="1"/>
  <c r="R52" i="4"/>
  <c r="Q52" i="9" s="1"/>
  <c r="S52" i="4"/>
  <c r="R52" i="9" s="1"/>
  <c r="T52" i="4"/>
  <c r="S52" i="9" s="1"/>
  <c r="J52" i="4"/>
  <c r="J52" i="9" s="1"/>
  <c r="L52" i="4"/>
  <c r="L52" i="9" s="1"/>
  <c r="I52" i="4"/>
  <c r="I52" i="9" s="1"/>
  <c r="K52" i="4"/>
  <c r="K52" i="9" s="1"/>
  <c r="J53" i="5"/>
  <c r="J53" i="18" s="1"/>
  <c r="I53" i="5"/>
  <c r="I53" i="18" s="1"/>
  <c r="L53" i="5"/>
  <c r="L53" i="18" s="1"/>
  <c r="K53" i="5"/>
  <c r="K53" i="18" s="1"/>
  <c r="S52" i="3"/>
  <c r="R52" i="3"/>
  <c r="U52" i="3"/>
  <c r="T52" i="7" s="1"/>
  <c r="T52" i="3"/>
  <c r="R53" i="1"/>
  <c r="Q53" i="6" s="1"/>
  <c r="S53" i="1"/>
  <c r="R53" i="6" s="1"/>
  <c r="T53" i="1"/>
  <c r="S53" i="6" s="1"/>
  <c r="Q53" i="1"/>
  <c r="P53" i="6" s="1"/>
  <c r="R52" i="11"/>
  <c r="C52" i="7"/>
  <c r="C52" i="9"/>
  <c r="C52" i="6"/>
  <c r="R51" i="11"/>
  <c r="P52" i="9"/>
  <c r="D52" i="9"/>
  <c r="O52" i="6"/>
  <c r="E53" i="18"/>
  <c r="D53" i="18"/>
  <c r="H52" i="9"/>
  <c r="G52" i="7"/>
  <c r="D52" i="7"/>
  <c r="H53" i="18"/>
  <c r="F22" i="12"/>
  <c r="I22" i="12"/>
  <c r="H22" i="12"/>
  <c r="M22" i="12"/>
  <c r="D22" i="12"/>
  <c r="G22" i="12"/>
  <c r="L22" i="12"/>
  <c r="E22" i="12"/>
  <c r="K22" i="12"/>
  <c r="J22" i="12"/>
  <c r="N22" i="12"/>
  <c r="C22" i="2"/>
  <c r="E53" i="7"/>
  <c r="X53" i="10"/>
  <c r="E53" i="6"/>
  <c r="W53" i="10"/>
  <c r="H52" i="7"/>
  <c r="P52" i="7"/>
  <c r="D52" i="6"/>
  <c r="P52" i="10"/>
  <c r="B22" i="2"/>
  <c r="P48" i="2"/>
  <c r="O48" i="2"/>
  <c r="Q49" i="2"/>
  <c r="P53" i="18"/>
  <c r="U53" i="6"/>
  <c r="V53" i="7"/>
  <c r="S53" i="7"/>
  <c r="Q53" i="7"/>
  <c r="T53" i="7"/>
  <c r="R53" i="7"/>
  <c r="E53" i="9"/>
  <c r="Y53" i="10"/>
  <c r="C51" i="4"/>
  <c r="D51" i="1"/>
  <c r="C51" i="1"/>
  <c r="D52" i="5"/>
  <c r="D51" i="4"/>
  <c r="C51" i="3"/>
  <c r="C52" i="5"/>
  <c r="C52" i="18" s="1"/>
  <c r="D51" i="3"/>
  <c r="G53" i="6"/>
  <c r="I53" i="6"/>
  <c r="K53" i="6"/>
  <c r="J53" i="6"/>
  <c r="H53" i="6"/>
  <c r="C51" i="10" l="1"/>
  <c r="Q51" i="10" s="1"/>
  <c r="B51" i="10"/>
  <c r="P51" i="10" s="1"/>
  <c r="W51" i="1"/>
  <c r="V51" i="1"/>
  <c r="P50" i="1"/>
  <c r="H50" i="4"/>
  <c r="Q50" i="4"/>
  <c r="E50" i="4"/>
  <c r="G50" i="4"/>
  <c r="G50" i="9" s="1"/>
  <c r="Q50" i="3"/>
  <c r="H51" i="5"/>
  <c r="J49" i="11"/>
  <c r="K50" i="10"/>
  <c r="Q51" i="5"/>
  <c r="E51" i="5"/>
  <c r="G51" i="5"/>
  <c r="G51" i="18" s="1"/>
  <c r="G50" i="3"/>
  <c r="H50" i="3"/>
  <c r="I50" i="10"/>
  <c r="E50" i="1"/>
  <c r="G50" i="1"/>
  <c r="E50" i="3"/>
  <c r="J50" i="10"/>
  <c r="I51" i="3"/>
  <c r="I51" i="7" s="1"/>
  <c r="J51" i="3"/>
  <c r="J51" i="7" s="1"/>
  <c r="L51" i="3"/>
  <c r="L51" i="7" s="1"/>
  <c r="K51" i="3"/>
  <c r="K51" i="7" s="1"/>
  <c r="J52" i="5"/>
  <c r="J52" i="18" s="1"/>
  <c r="K52" i="5"/>
  <c r="K52" i="18" s="1"/>
  <c r="I52" i="5"/>
  <c r="I52" i="18" s="1"/>
  <c r="L52" i="5"/>
  <c r="L52" i="18" s="1"/>
  <c r="L51" i="4"/>
  <c r="L51" i="9" s="1"/>
  <c r="I51" i="4"/>
  <c r="I51" i="9" s="1"/>
  <c r="J51" i="4"/>
  <c r="J51" i="9" s="1"/>
  <c r="K51" i="4"/>
  <c r="K51" i="9" s="1"/>
  <c r="H51" i="1"/>
  <c r="K51" i="1"/>
  <c r="J51" i="1"/>
  <c r="I51" i="1"/>
  <c r="S52" i="5"/>
  <c r="R52" i="18" s="1"/>
  <c r="T52" i="5"/>
  <c r="S52" i="18" s="1"/>
  <c r="U52" i="5"/>
  <c r="T52" i="18" s="1"/>
  <c r="R52" i="5"/>
  <c r="Q52" i="18" s="1"/>
  <c r="U51" i="4"/>
  <c r="T51" i="9" s="1"/>
  <c r="R51" i="4"/>
  <c r="Q51" i="9" s="1"/>
  <c r="T51" i="4"/>
  <c r="S51" i="9" s="1"/>
  <c r="S51" i="4"/>
  <c r="R51" i="9" s="1"/>
  <c r="U51" i="3"/>
  <c r="R51" i="3"/>
  <c r="S51" i="3"/>
  <c r="T51" i="3"/>
  <c r="R52" i="1"/>
  <c r="Q52" i="6" s="1"/>
  <c r="Q52" i="1"/>
  <c r="P52" i="6" s="1"/>
  <c r="S52" i="1"/>
  <c r="R52" i="6" s="1"/>
  <c r="T52" i="1"/>
  <c r="S52" i="6" s="1"/>
  <c r="C51" i="7"/>
  <c r="L51" i="11"/>
  <c r="C51" i="6"/>
  <c r="C51" i="9"/>
  <c r="P51" i="9"/>
  <c r="H51" i="7"/>
  <c r="E52" i="18"/>
  <c r="D52" i="18"/>
  <c r="O51" i="6"/>
  <c r="B21" i="2"/>
  <c r="F20" i="12" s="1"/>
  <c r="P47" i="2"/>
  <c r="O47" i="2"/>
  <c r="Q48" i="2"/>
  <c r="E52" i="7"/>
  <c r="X52" i="10"/>
  <c r="E52" i="9"/>
  <c r="Y52" i="10"/>
  <c r="H51" i="9"/>
  <c r="H52" i="18"/>
  <c r="C50" i="1"/>
  <c r="D51" i="5"/>
  <c r="C50" i="4"/>
  <c r="C51" i="5"/>
  <c r="C51" i="18" s="1"/>
  <c r="D50" i="4"/>
  <c r="C50" i="3"/>
  <c r="D50" i="3"/>
  <c r="D50" i="1"/>
  <c r="E52" i="6"/>
  <c r="W52" i="10"/>
  <c r="V52" i="7"/>
  <c r="S52" i="7"/>
  <c r="R52" i="7"/>
  <c r="Q52" i="7"/>
  <c r="D51" i="9"/>
  <c r="P51" i="7"/>
  <c r="G21" i="12"/>
  <c r="D21" i="12"/>
  <c r="M21" i="12"/>
  <c r="F21" i="12"/>
  <c r="K21" i="12"/>
  <c r="H21" i="12"/>
  <c r="E21" i="12"/>
  <c r="J21" i="12"/>
  <c r="L21" i="12"/>
  <c r="I21" i="12"/>
  <c r="N21" i="12"/>
  <c r="C21" i="2"/>
  <c r="U52" i="6"/>
  <c r="G51" i="7"/>
  <c r="D51" i="7"/>
  <c r="P52" i="18"/>
  <c r="D51" i="6"/>
  <c r="G52" i="6"/>
  <c r="I52" i="6"/>
  <c r="H52" i="6"/>
  <c r="K52" i="6"/>
  <c r="J52" i="6"/>
  <c r="T52" i="10" l="1"/>
  <c r="U52" i="10"/>
  <c r="B50" i="10"/>
  <c r="P50" i="10" s="1"/>
  <c r="C50" i="10"/>
  <c r="Q50" i="10" s="1"/>
  <c r="W50" i="1"/>
  <c r="V50" i="1"/>
  <c r="P49" i="1"/>
  <c r="H49" i="4"/>
  <c r="Q49" i="4"/>
  <c r="E49" i="4"/>
  <c r="G49" i="4"/>
  <c r="G49" i="9" s="1"/>
  <c r="K49" i="10"/>
  <c r="J48" i="11"/>
  <c r="H50" i="5"/>
  <c r="Q50" i="5"/>
  <c r="Q49" i="3"/>
  <c r="G50" i="5"/>
  <c r="G50" i="18" s="1"/>
  <c r="H49" i="3"/>
  <c r="E50" i="5"/>
  <c r="E49" i="1"/>
  <c r="I49" i="10"/>
  <c r="G49" i="3"/>
  <c r="J49" i="10"/>
  <c r="G49" i="1"/>
  <c r="E49" i="3"/>
  <c r="J51" i="5"/>
  <c r="J51" i="18" s="1"/>
  <c r="I51" i="5"/>
  <c r="I51" i="18" s="1"/>
  <c r="L51" i="5"/>
  <c r="L51" i="18" s="1"/>
  <c r="K51" i="5"/>
  <c r="K51" i="18" s="1"/>
  <c r="J50" i="4"/>
  <c r="J50" i="9" s="1"/>
  <c r="I50" i="4"/>
  <c r="I50" i="9" s="1"/>
  <c r="L50" i="4"/>
  <c r="L50" i="9" s="1"/>
  <c r="K50" i="4"/>
  <c r="K50" i="9" s="1"/>
  <c r="I50" i="1"/>
  <c r="H50" i="1"/>
  <c r="J50" i="1"/>
  <c r="K50" i="1"/>
  <c r="R50" i="3"/>
  <c r="T50" i="3"/>
  <c r="S50" i="3"/>
  <c r="U50" i="3"/>
  <c r="R51" i="5"/>
  <c r="Q51" i="18" s="1"/>
  <c r="U51" i="5"/>
  <c r="T51" i="18" s="1"/>
  <c r="S51" i="5"/>
  <c r="R51" i="18" s="1"/>
  <c r="T51" i="5"/>
  <c r="S51" i="18" s="1"/>
  <c r="J50" i="3"/>
  <c r="J50" i="7" s="1"/>
  <c r="I50" i="3"/>
  <c r="I50" i="7" s="1"/>
  <c r="L50" i="3"/>
  <c r="L50" i="7" s="1"/>
  <c r="K50" i="3"/>
  <c r="K50" i="7" s="1"/>
  <c r="R50" i="4"/>
  <c r="Q50" i="9" s="1"/>
  <c r="U50" i="4"/>
  <c r="T50" i="9" s="1"/>
  <c r="T50" i="4"/>
  <c r="S50" i="9" s="1"/>
  <c r="S50" i="4"/>
  <c r="R50" i="9" s="1"/>
  <c r="S51" i="1"/>
  <c r="R51" i="6" s="1"/>
  <c r="R51" i="1"/>
  <c r="Q51" i="6" s="1"/>
  <c r="Q51" i="1"/>
  <c r="P51" i="6" s="1"/>
  <c r="T51" i="1"/>
  <c r="S51" i="6" s="1"/>
  <c r="C50" i="7"/>
  <c r="C50" i="6"/>
  <c r="R50" i="11"/>
  <c r="C50" i="9"/>
  <c r="L50" i="11"/>
  <c r="D50" i="7"/>
  <c r="G50" i="7"/>
  <c r="O50" i="6"/>
  <c r="H51" i="18"/>
  <c r="D50" i="9"/>
  <c r="P50" i="9"/>
  <c r="D50" i="5"/>
  <c r="C49" i="4"/>
  <c r="D49" i="4"/>
  <c r="C49" i="3"/>
  <c r="D49" i="3"/>
  <c r="D49" i="1"/>
  <c r="C49" i="1"/>
  <c r="C50" i="5"/>
  <c r="C50" i="18" s="1"/>
  <c r="G51" i="6"/>
  <c r="J51" i="6"/>
  <c r="H51" i="6"/>
  <c r="K51" i="6"/>
  <c r="I51" i="6"/>
  <c r="E51" i="7"/>
  <c r="X51" i="10"/>
  <c r="D50" i="6"/>
  <c r="H50" i="9"/>
  <c r="D51" i="18"/>
  <c r="E51" i="18"/>
  <c r="E20" i="12"/>
  <c r="J20" i="12"/>
  <c r="G20" i="12"/>
  <c r="L20" i="12"/>
  <c r="M20" i="12"/>
  <c r="N20" i="12"/>
  <c r="K20" i="12"/>
  <c r="D20" i="12"/>
  <c r="H20" i="12"/>
  <c r="I20" i="12"/>
  <c r="C20" i="2"/>
  <c r="U51" i="6"/>
  <c r="V51" i="7"/>
  <c r="T51" i="7"/>
  <c r="R51" i="7"/>
  <c r="Q51" i="7"/>
  <c r="S51" i="7"/>
  <c r="P51" i="18"/>
  <c r="E51" i="6"/>
  <c r="W51" i="10"/>
  <c r="E51" i="9"/>
  <c r="Y51" i="10"/>
  <c r="H50" i="7"/>
  <c r="P50" i="7"/>
  <c r="B20" i="2"/>
  <c r="O46" i="2"/>
  <c r="Q47" i="2"/>
  <c r="P46" i="2"/>
  <c r="U51" i="10" l="1"/>
  <c r="T51" i="10"/>
  <c r="B49" i="10"/>
  <c r="C49" i="10"/>
  <c r="Q49" i="10" s="1"/>
  <c r="V49" i="1"/>
  <c r="W49" i="1"/>
  <c r="P48" i="1"/>
  <c r="H48" i="4"/>
  <c r="Q48" i="4"/>
  <c r="G48" i="4"/>
  <c r="G48" i="9" s="1"/>
  <c r="E48" i="4"/>
  <c r="K48" i="10"/>
  <c r="Q49" i="5"/>
  <c r="Q48" i="3"/>
  <c r="H49" i="5"/>
  <c r="J47" i="11"/>
  <c r="G49" i="5"/>
  <c r="G49" i="18" s="1"/>
  <c r="E49" i="5"/>
  <c r="E48" i="1"/>
  <c r="H48" i="3"/>
  <c r="G48" i="3"/>
  <c r="I48" i="10"/>
  <c r="G48" i="1"/>
  <c r="J48" i="10"/>
  <c r="E48" i="3"/>
  <c r="T49" i="3"/>
  <c r="U49" i="3"/>
  <c r="R49" i="3"/>
  <c r="S49" i="3"/>
  <c r="J49" i="4"/>
  <c r="J49" i="9" s="1"/>
  <c r="I49" i="4"/>
  <c r="I49" i="9" s="1"/>
  <c r="K49" i="4"/>
  <c r="K49" i="9" s="1"/>
  <c r="L49" i="4"/>
  <c r="L49" i="9" s="1"/>
  <c r="U49" i="4"/>
  <c r="T49" i="9" s="1"/>
  <c r="S49" i="4"/>
  <c r="R49" i="9" s="1"/>
  <c r="T49" i="4"/>
  <c r="S49" i="9" s="1"/>
  <c r="R49" i="4"/>
  <c r="Q49" i="9" s="1"/>
  <c r="I49" i="1"/>
  <c r="H49" i="1"/>
  <c r="K49" i="1"/>
  <c r="J49" i="1"/>
  <c r="I49" i="3"/>
  <c r="I49" i="7" s="1"/>
  <c r="J49" i="3"/>
  <c r="J49" i="7" s="1"/>
  <c r="L49" i="3"/>
  <c r="L49" i="7" s="1"/>
  <c r="K49" i="3"/>
  <c r="K49" i="7" s="1"/>
  <c r="S50" i="5"/>
  <c r="R50" i="18" s="1"/>
  <c r="T50" i="5"/>
  <c r="S50" i="18" s="1"/>
  <c r="R50" i="5"/>
  <c r="Q50" i="18" s="1"/>
  <c r="U50" i="5"/>
  <c r="T50" i="18" s="1"/>
  <c r="K50" i="5"/>
  <c r="K50" i="18" s="1"/>
  <c r="J50" i="5"/>
  <c r="J50" i="18" s="1"/>
  <c r="I50" i="5"/>
  <c r="I50" i="18" s="1"/>
  <c r="L50" i="5"/>
  <c r="L50" i="18" s="1"/>
  <c r="R50" i="1"/>
  <c r="Q50" i="6" s="1"/>
  <c r="Q50" i="1"/>
  <c r="P50" i="6" s="1"/>
  <c r="S50" i="1"/>
  <c r="R50" i="6" s="1"/>
  <c r="T50" i="1"/>
  <c r="S50" i="6" s="1"/>
  <c r="L49" i="11"/>
  <c r="R49" i="11"/>
  <c r="C49" i="6"/>
  <c r="C49" i="7"/>
  <c r="C49" i="9"/>
  <c r="B19" i="2"/>
  <c r="P45" i="2"/>
  <c r="O45" i="2"/>
  <c r="Q46" i="2"/>
  <c r="G50" i="6"/>
  <c r="J50" i="6"/>
  <c r="H50" i="6"/>
  <c r="I50" i="6"/>
  <c r="K50" i="6"/>
  <c r="H49" i="9"/>
  <c r="U50" i="6"/>
  <c r="C49" i="5"/>
  <c r="C49" i="18" s="1"/>
  <c r="C48" i="1"/>
  <c r="D48" i="3"/>
  <c r="D49" i="5"/>
  <c r="C48" i="4"/>
  <c r="D48" i="4"/>
  <c r="C48" i="3"/>
  <c r="D48" i="1"/>
  <c r="D49" i="7"/>
  <c r="G49" i="7"/>
  <c r="D49" i="9"/>
  <c r="O49" i="6"/>
  <c r="V50" i="7"/>
  <c r="S50" i="7"/>
  <c r="T50" i="7"/>
  <c r="Q50" i="7"/>
  <c r="R50" i="7"/>
  <c r="E50" i="6"/>
  <c r="W50" i="10"/>
  <c r="H49" i="7"/>
  <c r="P49" i="7"/>
  <c r="D49" i="6"/>
  <c r="P49" i="10"/>
  <c r="D50" i="18"/>
  <c r="E50" i="18"/>
  <c r="E50" i="7"/>
  <c r="X50" i="10"/>
  <c r="G19" i="12"/>
  <c r="F19" i="12"/>
  <c r="H19" i="12"/>
  <c r="E19" i="12"/>
  <c r="J19" i="12"/>
  <c r="L19" i="12"/>
  <c r="I19" i="12"/>
  <c r="N19" i="12"/>
  <c r="D19" i="12"/>
  <c r="K19" i="12"/>
  <c r="M19" i="12"/>
  <c r="C19" i="2"/>
  <c r="P49" i="9"/>
  <c r="P50" i="18"/>
  <c r="H50" i="18"/>
  <c r="E50" i="9"/>
  <c r="Y50" i="10"/>
  <c r="T50" i="10" l="1"/>
  <c r="U50" i="10"/>
  <c r="B48" i="10"/>
  <c r="P48" i="10" s="1"/>
  <c r="C48" i="10"/>
  <c r="Q48" i="10" s="1"/>
  <c r="P47" i="1"/>
  <c r="Q47" i="4"/>
  <c r="H47" i="4"/>
  <c r="E47" i="4"/>
  <c r="G47" i="4"/>
  <c r="G47" i="9" s="1"/>
  <c r="J46" i="11"/>
  <c r="K47" i="10"/>
  <c r="Q48" i="5"/>
  <c r="H48" i="5"/>
  <c r="Q47" i="3"/>
  <c r="E48" i="5"/>
  <c r="E47" i="1"/>
  <c r="H47" i="3"/>
  <c r="G47" i="3"/>
  <c r="I47" i="10"/>
  <c r="E47" i="3"/>
  <c r="G48" i="5"/>
  <c r="G48" i="18" s="1"/>
  <c r="G47" i="1"/>
  <c r="J47" i="10"/>
  <c r="W48" i="1"/>
  <c r="V48" i="1"/>
  <c r="J49" i="5"/>
  <c r="J49" i="18" s="1"/>
  <c r="I49" i="5"/>
  <c r="I49" i="18" s="1"/>
  <c r="L49" i="5"/>
  <c r="L49" i="18" s="1"/>
  <c r="K49" i="5"/>
  <c r="K49" i="18" s="1"/>
  <c r="S48" i="4"/>
  <c r="R48" i="9" s="1"/>
  <c r="T48" i="4"/>
  <c r="S48" i="9" s="1"/>
  <c r="U48" i="4"/>
  <c r="T48" i="9" s="1"/>
  <c r="R48" i="4"/>
  <c r="Q48" i="9" s="1"/>
  <c r="I48" i="1"/>
  <c r="H48" i="1"/>
  <c r="K48" i="1"/>
  <c r="J48" i="1"/>
  <c r="R49" i="5"/>
  <c r="Q49" i="18" s="1"/>
  <c r="T49" i="5"/>
  <c r="S49" i="18" s="1"/>
  <c r="S49" i="5"/>
  <c r="R49" i="18" s="1"/>
  <c r="U49" i="5"/>
  <c r="T49" i="18" s="1"/>
  <c r="J48" i="4"/>
  <c r="J48" i="9" s="1"/>
  <c r="L48" i="4"/>
  <c r="L48" i="9" s="1"/>
  <c r="I48" i="4"/>
  <c r="I48" i="9" s="1"/>
  <c r="K48" i="4"/>
  <c r="K48" i="9" s="1"/>
  <c r="K48" i="3"/>
  <c r="K48" i="7" s="1"/>
  <c r="J48" i="3"/>
  <c r="J48" i="7" s="1"/>
  <c r="L48" i="3"/>
  <c r="L48" i="7" s="1"/>
  <c r="I48" i="3"/>
  <c r="I48" i="7" s="1"/>
  <c r="S48" i="3"/>
  <c r="R48" i="3"/>
  <c r="U48" i="3"/>
  <c r="T48" i="3"/>
  <c r="T49" i="1"/>
  <c r="S49" i="6" s="1"/>
  <c r="S49" i="1"/>
  <c r="R49" i="6" s="1"/>
  <c r="R49" i="1"/>
  <c r="Q49" i="6" s="1"/>
  <c r="Q49" i="1"/>
  <c r="P49" i="6" s="1"/>
  <c r="T69" i="11"/>
  <c r="T74" i="11"/>
  <c r="T71" i="11"/>
  <c r="T73" i="11"/>
  <c r="T76" i="11"/>
  <c r="T79" i="11"/>
  <c r="T70" i="11"/>
  <c r="T72" i="11"/>
  <c r="T77" i="11"/>
  <c r="T82" i="11"/>
  <c r="T80" i="11"/>
  <c r="T81" i="11"/>
  <c r="T75" i="11"/>
  <c r="T78" i="11"/>
  <c r="L48" i="11"/>
  <c r="R48" i="11"/>
  <c r="C48" i="9"/>
  <c r="C48" i="7"/>
  <c r="C48" i="6"/>
  <c r="L47" i="11"/>
  <c r="G49" i="6"/>
  <c r="J49" i="6"/>
  <c r="H49" i="6"/>
  <c r="I49" i="6"/>
  <c r="K49" i="6"/>
  <c r="P48" i="7"/>
  <c r="P48" i="9"/>
  <c r="F18" i="12"/>
  <c r="H18" i="12"/>
  <c r="M18" i="12"/>
  <c r="G18" i="12"/>
  <c r="L18" i="12"/>
  <c r="E18" i="12"/>
  <c r="K18" i="12"/>
  <c r="I18" i="12"/>
  <c r="D18" i="12"/>
  <c r="N18" i="12"/>
  <c r="J18" i="12"/>
  <c r="C18" i="2"/>
  <c r="U49" i="6"/>
  <c r="H49" i="18"/>
  <c r="D48" i="9"/>
  <c r="O48" i="6"/>
  <c r="H48" i="7"/>
  <c r="H48" i="9"/>
  <c r="G48" i="7"/>
  <c r="D48" i="7"/>
  <c r="B18" i="2"/>
  <c r="Q45" i="2"/>
  <c r="P44" i="2"/>
  <c r="O44" i="2"/>
  <c r="E49" i="6"/>
  <c r="W49" i="10"/>
  <c r="V49" i="7"/>
  <c r="S49" i="7"/>
  <c r="T49" i="7"/>
  <c r="R49" i="7"/>
  <c r="Q49" i="7"/>
  <c r="E49" i="9"/>
  <c r="Y49" i="10"/>
  <c r="E49" i="7"/>
  <c r="X49" i="10"/>
  <c r="P49" i="18"/>
  <c r="D48" i="6"/>
  <c r="E49" i="18"/>
  <c r="D49" i="18"/>
  <c r="C47" i="1"/>
  <c r="D47" i="1"/>
  <c r="C47" i="4"/>
  <c r="C48" i="5"/>
  <c r="C48" i="18" s="1"/>
  <c r="C47" i="3"/>
  <c r="D47" i="4"/>
  <c r="D48" i="5"/>
  <c r="D47" i="3"/>
  <c r="T48" i="10" l="1"/>
  <c r="U48" i="10"/>
  <c r="T49" i="10"/>
  <c r="U49" i="10"/>
  <c r="B47" i="10"/>
  <c r="P47" i="10" s="1"/>
  <c r="C47" i="10"/>
  <c r="Q47" i="10" s="1"/>
  <c r="P46" i="1"/>
  <c r="H46" i="4"/>
  <c r="Q46" i="4"/>
  <c r="G46" i="4"/>
  <c r="G46" i="9" s="1"/>
  <c r="E46" i="4"/>
  <c r="Q46" i="3"/>
  <c r="J45" i="11"/>
  <c r="K46" i="10"/>
  <c r="Q47" i="5"/>
  <c r="H47" i="5"/>
  <c r="E47" i="5"/>
  <c r="E46" i="1"/>
  <c r="G47" i="5"/>
  <c r="G47" i="18" s="1"/>
  <c r="H46" i="3"/>
  <c r="I46" i="10"/>
  <c r="G46" i="3"/>
  <c r="J46" i="10"/>
  <c r="G46" i="1"/>
  <c r="E46" i="3"/>
  <c r="W47" i="1"/>
  <c r="V47" i="1"/>
  <c r="I47" i="1"/>
  <c r="H47" i="1"/>
  <c r="K47" i="1"/>
  <c r="J47" i="1"/>
  <c r="U48" i="5"/>
  <c r="T48" i="18" s="1"/>
  <c r="T48" i="5"/>
  <c r="S48" i="18" s="1"/>
  <c r="R48" i="5"/>
  <c r="Q48" i="18" s="1"/>
  <c r="S48" i="5"/>
  <c r="R48" i="18" s="1"/>
  <c r="J47" i="3"/>
  <c r="J47" i="7" s="1"/>
  <c r="I47" i="3"/>
  <c r="I47" i="7" s="1"/>
  <c r="L47" i="3"/>
  <c r="L47" i="7" s="1"/>
  <c r="K47" i="3"/>
  <c r="K47" i="7" s="1"/>
  <c r="R47" i="3"/>
  <c r="Q47" i="7" s="1"/>
  <c r="S47" i="3"/>
  <c r="T47" i="3"/>
  <c r="U47" i="3"/>
  <c r="R47" i="4"/>
  <c r="Q47" i="9" s="1"/>
  <c r="S47" i="4"/>
  <c r="R47" i="9" s="1"/>
  <c r="T47" i="4"/>
  <c r="S47" i="9" s="1"/>
  <c r="U47" i="4"/>
  <c r="T47" i="9" s="1"/>
  <c r="I47" i="4"/>
  <c r="I47" i="9" s="1"/>
  <c r="L47" i="4"/>
  <c r="L47" i="9" s="1"/>
  <c r="K47" i="4"/>
  <c r="K47" i="9" s="1"/>
  <c r="J47" i="4"/>
  <c r="J47" i="9" s="1"/>
  <c r="J48" i="5"/>
  <c r="J48" i="18" s="1"/>
  <c r="K48" i="5"/>
  <c r="K48" i="18" s="1"/>
  <c r="I48" i="5"/>
  <c r="I48" i="18" s="1"/>
  <c r="L48" i="5"/>
  <c r="L48" i="18" s="1"/>
  <c r="T48" i="1"/>
  <c r="S48" i="6" s="1"/>
  <c r="Q48" i="1"/>
  <c r="P48" i="6" s="1"/>
  <c r="R48" i="1"/>
  <c r="Q48" i="6" s="1"/>
  <c r="S48" i="1"/>
  <c r="R48" i="6" s="1"/>
  <c r="R47" i="11"/>
  <c r="C47" i="7"/>
  <c r="C47" i="9"/>
  <c r="C47" i="6"/>
  <c r="P47" i="7"/>
  <c r="D47" i="9"/>
  <c r="P48" i="18"/>
  <c r="G48" i="6"/>
  <c r="J48" i="6"/>
  <c r="H48" i="6"/>
  <c r="I48" i="6"/>
  <c r="K48" i="6"/>
  <c r="B17" i="2"/>
  <c r="O43" i="2"/>
  <c r="Q44" i="2"/>
  <c r="P43" i="2"/>
  <c r="U48" i="6"/>
  <c r="E48" i="18"/>
  <c r="D48" i="18"/>
  <c r="H47" i="7"/>
  <c r="H47" i="9"/>
  <c r="H48" i="18"/>
  <c r="G17" i="12"/>
  <c r="D17" i="12"/>
  <c r="M17" i="12"/>
  <c r="H17" i="12"/>
  <c r="F17" i="12"/>
  <c r="K17" i="12"/>
  <c r="L17" i="12"/>
  <c r="E17" i="12"/>
  <c r="J17" i="12"/>
  <c r="I17" i="12"/>
  <c r="N17" i="12"/>
  <c r="C17" i="2"/>
  <c r="E48" i="7"/>
  <c r="X48" i="10"/>
  <c r="P47" i="9"/>
  <c r="E48" i="6"/>
  <c r="W48" i="10"/>
  <c r="D47" i="5"/>
  <c r="D46" i="3"/>
  <c r="C46" i="3"/>
  <c r="C47" i="5"/>
  <c r="C47" i="18" s="1"/>
  <c r="D46" i="1"/>
  <c r="C46" i="1"/>
  <c r="D46" i="4"/>
  <c r="C46" i="4"/>
  <c r="E48" i="9"/>
  <c r="Y48" i="10"/>
  <c r="V48" i="7"/>
  <c r="R48" i="7"/>
  <c r="S48" i="7"/>
  <c r="Q48" i="7"/>
  <c r="T48" i="7"/>
  <c r="G47" i="7"/>
  <c r="D47" i="7"/>
  <c r="D47" i="6"/>
  <c r="O47" i="6"/>
  <c r="B46" i="10" l="1"/>
  <c r="P46" i="10" s="1"/>
  <c r="C46" i="10"/>
  <c r="Q46" i="10" s="1"/>
  <c r="P45" i="1"/>
  <c r="H45" i="4"/>
  <c r="Q45" i="4"/>
  <c r="E45" i="4"/>
  <c r="G45" i="4"/>
  <c r="G45" i="9" s="1"/>
  <c r="Q46" i="5"/>
  <c r="J44" i="11"/>
  <c r="H46" i="5"/>
  <c r="K45" i="10"/>
  <c r="Q45" i="3"/>
  <c r="E46" i="5"/>
  <c r="G46" i="5"/>
  <c r="G46" i="18" s="1"/>
  <c r="H45" i="3"/>
  <c r="E45" i="1"/>
  <c r="I45" i="10"/>
  <c r="G45" i="3"/>
  <c r="J45" i="10"/>
  <c r="G45" i="1"/>
  <c r="E45" i="3"/>
  <c r="W46" i="1"/>
  <c r="V46" i="1"/>
  <c r="I46" i="4"/>
  <c r="I46" i="9" s="1"/>
  <c r="J46" i="4"/>
  <c r="J46" i="9" s="1"/>
  <c r="K46" i="4"/>
  <c r="K46" i="9" s="1"/>
  <c r="L46" i="4"/>
  <c r="L46" i="9" s="1"/>
  <c r="U46" i="4"/>
  <c r="T46" i="9" s="1"/>
  <c r="T46" i="4"/>
  <c r="S46" i="9" s="1"/>
  <c r="R46" i="4"/>
  <c r="Q46" i="9" s="1"/>
  <c r="S46" i="4"/>
  <c r="R46" i="9" s="1"/>
  <c r="J46" i="3"/>
  <c r="J46" i="7" s="1"/>
  <c r="I46" i="3"/>
  <c r="I46" i="7" s="1"/>
  <c r="L46" i="3"/>
  <c r="L46" i="7" s="1"/>
  <c r="K46" i="3"/>
  <c r="K46" i="7" s="1"/>
  <c r="I46" i="1"/>
  <c r="H46" i="1"/>
  <c r="J46" i="1"/>
  <c r="K46" i="1"/>
  <c r="S46" i="3"/>
  <c r="R46" i="3"/>
  <c r="T46" i="3"/>
  <c r="U46" i="3"/>
  <c r="U47" i="5"/>
  <c r="T47" i="18" s="1"/>
  <c r="T47" i="5"/>
  <c r="S47" i="18" s="1"/>
  <c r="R47" i="5"/>
  <c r="Q47" i="18" s="1"/>
  <c r="S47" i="5"/>
  <c r="R47" i="18" s="1"/>
  <c r="J47" i="5"/>
  <c r="J47" i="18" s="1"/>
  <c r="L47" i="5"/>
  <c r="L47" i="18" s="1"/>
  <c r="K47" i="5"/>
  <c r="K47" i="18" s="1"/>
  <c r="I47" i="5"/>
  <c r="I47" i="18" s="1"/>
  <c r="T47" i="1"/>
  <c r="S47" i="6" s="1"/>
  <c r="R47" i="1"/>
  <c r="Q47" i="6" s="1"/>
  <c r="S47" i="1"/>
  <c r="R47" i="6" s="1"/>
  <c r="Q47" i="1"/>
  <c r="P47" i="6" s="1"/>
  <c r="L46" i="11"/>
  <c r="R46" i="11"/>
  <c r="C46" i="7"/>
  <c r="C46" i="9"/>
  <c r="C46" i="6"/>
  <c r="L45" i="11"/>
  <c r="T47" i="7"/>
  <c r="R47" i="7"/>
  <c r="E47" i="6"/>
  <c r="W47" i="10"/>
  <c r="E47" i="7"/>
  <c r="X47" i="10"/>
  <c r="D46" i="9"/>
  <c r="D45" i="3"/>
  <c r="C46" i="5"/>
  <c r="C46" i="18" s="1"/>
  <c r="D46" i="5"/>
  <c r="D45" i="4"/>
  <c r="C45" i="4"/>
  <c r="C45" i="1"/>
  <c r="C45" i="3"/>
  <c r="D45" i="1"/>
  <c r="V47" i="7"/>
  <c r="S47" i="7"/>
  <c r="U47" i="6"/>
  <c r="P47" i="18"/>
  <c r="P46" i="7"/>
  <c r="P46" i="9"/>
  <c r="G47" i="6"/>
  <c r="J47" i="6"/>
  <c r="I47" i="6"/>
  <c r="H47" i="6"/>
  <c r="K47" i="6"/>
  <c r="H47" i="18"/>
  <c r="D46" i="6"/>
  <c r="H46" i="9"/>
  <c r="O46" i="6"/>
  <c r="E16" i="12"/>
  <c r="D16" i="12"/>
  <c r="N16" i="12"/>
  <c r="G16" i="12"/>
  <c r="L16" i="12"/>
  <c r="M16" i="12"/>
  <c r="K16" i="12"/>
  <c r="F16" i="12"/>
  <c r="J16" i="12"/>
  <c r="H16" i="12"/>
  <c r="I16" i="12"/>
  <c r="C16" i="2"/>
  <c r="E47" i="9"/>
  <c r="Y47" i="10"/>
  <c r="H46" i="7"/>
  <c r="G46" i="7"/>
  <c r="D46" i="7"/>
  <c r="D47" i="18"/>
  <c r="E47" i="18"/>
  <c r="B16" i="2"/>
  <c r="P42" i="2"/>
  <c r="O42" i="2"/>
  <c r="Q43" i="2"/>
  <c r="T46" i="10" l="1"/>
  <c r="U46" i="10"/>
  <c r="U47" i="10"/>
  <c r="T47" i="10"/>
  <c r="C45" i="10"/>
  <c r="Q45" i="10" s="1"/>
  <c r="B45" i="10"/>
  <c r="P45" i="10" s="1"/>
  <c r="P44" i="1"/>
  <c r="H44" i="4"/>
  <c r="Q44" i="4"/>
  <c r="E44" i="4"/>
  <c r="G44" i="4"/>
  <c r="G44" i="9" s="1"/>
  <c r="Q45" i="5"/>
  <c r="H45" i="5"/>
  <c r="K44" i="10"/>
  <c r="Q44" i="3"/>
  <c r="J43" i="11"/>
  <c r="E45" i="5"/>
  <c r="H44" i="3"/>
  <c r="G45" i="5"/>
  <c r="G45" i="18" s="1"/>
  <c r="E44" i="1"/>
  <c r="J44" i="10"/>
  <c r="I44" i="10"/>
  <c r="G44" i="3"/>
  <c r="G44" i="1"/>
  <c r="E44" i="3"/>
  <c r="V45" i="1"/>
  <c r="W45" i="1"/>
  <c r="I45" i="3"/>
  <c r="I45" i="7" s="1"/>
  <c r="J45" i="3"/>
  <c r="J45" i="7" s="1"/>
  <c r="L45" i="3"/>
  <c r="L45" i="7" s="1"/>
  <c r="K45" i="3"/>
  <c r="K45" i="7" s="1"/>
  <c r="J46" i="5"/>
  <c r="J46" i="18" s="1"/>
  <c r="K46" i="5"/>
  <c r="K46" i="18" s="1"/>
  <c r="I46" i="5"/>
  <c r="I46" i="18" s="1"/>
  <c r="L46" i="5"/>
  <c r="L46" i="18" s="1"/>
  <c r="T46" i="5"/>
  <c r="S46" i="18" s="1"/>
  <c r="U46" i="5"/>
  <c r="T46" i="18" s="1"/>
  <c r="R46" i="5"/>
  <c r="Q46" i="18" s="1"/>
  <c r="S46" i="5"/>
  <c r="R46" i="18" s="1"/>
  <c r="I45" i="1"/>
  <c r="H45" i="1"/>
  <c r="K45" i="1"/>
  <c r="J45" i="1"/>
  <c r="T45" i="4"/>
  <c r="S45" i="9" s="1"/>
  <c r="U45" i="4"/>
  <c r="T45" i="9" s="1"/>
  <c r="R45" i="4"/>
  <c r="Q45" i="9" s="1"/>
  <c r="S45" i="4"/>
  <c r="R45" i="9" s="1"/>
  <c r="J45" i="4"/>
  <c r="J45" i="9" s="1"/>
  <c r="I45" i="4"/>
  <c r="I45" i="9" s="1"/>
  <c r="L45" i="4"/>
  <c r="L45" i="9" s="1"/>
  <c r="K45" i="4"/>
  <c r="K45" i="9" s="1"/>
  <c r="U45" i="3"/>
  <c r="T45" i="3"/>
  <c r="S45" i="3"/>
  <c r="R45" i="3"/>
  <c r="R46" i="1"/>
  <c r="Q46" i="6" s="1"/>
  <c r="Q46" i="1"/>
  <c r="P46" i="6" s="1"/>
  <c r="S46" i="1"/>
  <c r="R46" i="6" s="1"/>
  <c r="T46" i="1"/>
  <c r="S46" i="6" s="1"/>
  <c r="R45" i="11"/>
  <c r="C45" i="7"/>
  <c r="C45" i="9"/>
  <c r="C45" i="6"/>
  <c r="R44" i="11"/>
  <c r="G15" i="12"/>
  <c r="H15" i="12"/>
  <c r="F15" i="12"/>
  <c r="L15" i="12"/>
  <c r="E15" i="12"/>
  <c r="J15" i="12"/>
  <c r="D15" i="12"/>
  <c r="I15" i="12"/>
  <c r="N15" i="12"/>
  <c r="K15" i="12"/>
  <c r="M15" i="12"/>
  <c r="C15" i="2"/>
  <c r="E46" i="7"/>
  <c r="X46" i="10"/>
  <c r="D45" i="9"/>
  <c r="P45" i="7"/>
  <c r="D45" i="7"/>
  <c r="G45" i="7"/>
  <c r="U46" i="6"/>
  <c r="E46" i="6"/>
  <c r="W46" i="10"/>
  <c r="D45" i="6"/>
  <c r="O45" i="6"/>
  <c r="D46" i="18"/>
  <c r="E46" i="18"/>
  <c r="H45" i="7"/>
  <c r="P45" i="9"/>
  <c r="E46" i="9"/>
  <c r="Y46" i="10"/>
  <c r="B15" i="2"/>
  <c r="O41" i="2"/>
  <c r="Q42" i="2"/>
  <c r="P41" i="2"/>
  <c r="P46" i="18"/>
  <c r="D44" i="1"/>
  <c r="C44" i="4"/>
  <c r="D45" i="5"/>
  <c r="C44" i="1"/>
  <c r="C45" i="5"/>
  <c r="C45" i="18" s="1"/>
  <c r="C44" i="3"/>
  <c r="D44" i="3"/>
  <c r="D44" i="4"/>
  <c r="G46" i="6"/>
  <c r="J46" i="6"/>
  <c r="H46" i="6"/>
  <c r="I46" i="6"/>
  <c r="K46" i="6"/>
  <c r="V46" i="7"/>
  <c r="S46" i="7"/>
  <c r="Q46" i="7"/>
  <c r="R46" i="7"/>
  <c r="T46" i="7"/>
  <c r="H45" i="9"/>
  <c r="H46" i="18"/>
  <c r="B44" i="10" l="1"/>
  <c r="P44" i="10" s="1"/>
  <c r="C44" i="10"/>
  <c r="Q44" i="10" s="1"/>
  <c r="P43" i="1"/>
  <c r="H43" i="4"/>
  <c r="Q43" i="4"/>
  <c r="G43" i="4"/>
  <c r="G43" i="9" s="1"/>
  <c r="E43" i="4"/>
  <c r="Q43" i="3"/>
  <c r="H44" i="5"/>
  <c r="J42" i="11"/>
  <c r="K43" i="10"/>
  <c r="Q44" i="5"/>
  <c r="G44" i="5"/>
  <c r="G44" i="18" s="1"/>
  <c r="E44" i="5"/>
  <c r="E43" i="1"/>
  <c r="G43" i="3"/>
  <c r="H43" i="3"/>
  <c r="G43" i="1"/>
  <c r="I43" i="10"/>
  <c r="E43" i="3"/>
  <c r="J43" i="10"/>
  <c r="W44" i="1"/>
  <c r="V44" i="1"/>
  <c r="K44" i="3"/>
  <c r="K44" i="7" s="1"/>
  <c r="J44" i="3"/>
  <c r="J44" i="7" s="1"/>
  <c r="L44" i="3"/>
  <c r="L44" i="7" s="1"/>
  <c r="I44" i="3"/>
  <c r="I44" i="7" s="1"/>
  <c r="H44" i="1"/>
  <c r="K44" i="1"/>
  <c r="J44" i="1"/>
  <c r="I44" i="1"/>
  <c r="R45" i="5"/>
  <c r="Q45" i="18" s="1"/>
  <c r="U45" i="5"/>
  <c r="T45" i="18" s="1"/>
  <c r="T45" i="5"/>
  <c r="S45" i="18" s="1"/>
  <c r="S45" i="5"/>
  <c r="R45" i="18" s="1"/>
  <c r="J45" i="5"/>
  <c r="J45" i="18" s="1"/>
  <c r="K45" i="5"/>
  <c r="K45" i="18" s="1"/>
  <c r="I45" i="5"/>
  <c r="I45" i="18" s="1"/>
  <c r="L45" i="5"/>
  <c r="L45" i="18" s="1"/>
  <c r="L44" i="4"/>
  <c r="L44" i="9" s="1"/>
  <c r="J44" i="4"/>
  <c r="J44" i="9" s="1"/>
  <c r="I44" i="4"/>
  <c r="I44" i="9" s="1"/>
  <c r="K44" i="4"/>
  <c r="K44" i="9" s="1"/>
  <c r="R44" i="3"/>
  <c r="T44" i="3"/>
  <c r="U44" i="3"/>
  <c r="S44" i="3"/>
  <c r="U44" i="4"/>
  <c r="T44" i="9" s="1"/>
  <c r="R44" i="4"/>
  <c r="Q44" i="9" s="1"/>
  <c r="T44" i="4"/>
  <c r="S44" i="9" s="1"/>
  <c r="S44" i="4"/>
  <c r="R44" i="9" s="1"/>
  <c r="R45" i="1"/>
  <c r="Q45" i="6" s="1"/>
  <c r="T45" i="1"/>
  <c r="S45" i="6" s="1"/>
  <c r="S45" i="1"/>
  <c r="R45" i="6" s="1"/>
  <c r="Q45" i="1"/>
  <c r="P45" i="6" s="1"/>
  <c r="L44" i="11"/>
  <c r="C44" i="7"/>
  <c r="C44" i="6"/>
  <c r="L43" i="11"/>
  <c r="C44" i="9"/>
  <c r="G44" i="7"/>
  <c r="D44" i="7"/>
  <c r="H45" i="18"/>
  <c r="U45" i="6"/>
  <c r="E45" i="7"/>
  <c r="X45" i="10"/>
  <c r="E45" i="9"/>
  <c r="Y45" i="10"/>
  <c r="D44" i="9"/>
  <c r="H44" i="7"/>
  <c r="H44" i="9"/>
  <c r="E14" i="12"/>
  <c r="M14" i="12"/>
  <c r="K14" i="12"/>
  <c r="F14" i="12"/>
  <c r="I14" i="12"/>
  <c r="D14" i="12"/>
  <c r="J14" i="12"/>
  <c r="H14" i="12"/>
  <c r="N14" i="12"/>
  <c r="G14" i="12"/>
  <c r="L14" i="12"/>
  <c r="C14" i="2"/>
  <c r="G45" i="6"/>
  <c r="H45" i="6"/>
  <c r="K45" i="6"/>
  <c r="J45" i="6"/>
  <c r="I45" i="6"/>
  <c r="P44" i="7"/>
  <c r="D45" i="18"/>
  <c r="E45" i="18"/>
  <c r="O44" i="6"/>
  <c r="B14" i="2"/>
  <c r="O40" i="2"/>
  <c r="Q41" i="2"/>
  <c r="P40" i="2"/>
  <c r="E45" i="6"/>
  <c r="W45" i="10"/>
  <c r="V45" i="7"/>
  <c r="Q45" i="7"/>
  <c r="S45" i="7"/>
  <c r="R45" i="7"/>
  <c r="T45" i="7"/>
  <c r="P44" i="9"/>
  <c r="P45" i="18"/>
  <c r="D44" i="6"/>
  <c r="C43" i="4"/>
  <c r="D43" i="3"/>
  <c r="C43" i="1"/>
  <c r="D43" i="1"/>
  <c r="C44" i="5"/>
  <c r="C44" i="18" s="1"/>
  <c r="C43" i="3"/>
  <c r="D44" i="5"/>
  <c r="D43" i="4"/>
  <c r="T44" i="10" l="1"/>
  <c r="U44" i="10"/>
  <c r="U45" i="10"/>
  <c r="T45" i="10"/>
  <c r="B43" i="10"/>
  <c r="P43" i="10" s="1"/>
  <c r="C43" i="10"/>
  <c r="Q43" i="10" s="1"/>
  <c r="W43" i="1"/>
  <c r="V43" i="1"/>
  <c r="P42" i="1"/>
  <c r="H42" i="4"/>
  <c r="Q42" i="4"/>
  <c r="G42" i="4"/>
  <c r="G42" i="9" s="1"/>
  <c r="E42" i="4"/>
  <c r="K42" i="10"/>
  <c r="Q43" i="5"/>
  <c r="H43" i="5"/>
  <c r="J41" i="11"/>
  <c r="Q42" i="3"/>
  <c r="H42" i="3"/>
  <c r="E43" i="5"/>
  <c r="G43" i="5"/>
  <c r="G43" i="18" s="1"/>
  <c r="E42" i="1"/>
  <c r="G42" i="3"/>
  <c r="I42" i="10"/>
  <c r="J42" i="10"/>
  <c r="G42" i="1"/>
  <c r="E42" i="3"/>
  <c r="R43" i="11"/>
  <c r="I43" i="1"/>
  <c r="H43" i="1"/>
  <c r="K43" i="1"/>
  <c r="J43" i="1"/>
  <c r="J44" i="5"/>
  <c r="J44" i="18" s="1"/>
  <c r="K44" i="5"/>
  <c r="K44" i="18" s="1"/>
  <c r="I44" i="5"/>
  <c r="I44" i="18" s="1"/>
  <c r="L44" i="5"/>
  <c r="L44" i="18" s="1"/>
  <c r="I43" i="4"/>
  <c r="I43" i="9" s="1"/>
  <c r="J43" i="4"/>
  <c r="J43" i="9" s="1"/>
  <c r="L43" i="4"/>
  <c r="L43" i="9" s="1"/>
  <c r="K43" i="4"/>
  <c r="K43" i="9" s="1"/>
  <c r="J43" i="3"/>
  <c r="J43" i="7" s="1"/>
  <c r="I43" i="3"/>
  <c r="I43" i="7" s="1"/>
  <c r="L43" i="3"/>
  <c r="L43" i="7" s="1"/>
  <c r="K43" i="3"/>
  <c r="K43" i="7" s="1"/>
  <c r="T43" i="3"/>
  <c r="R43" i="3"/>
  <c r="U43" i="3"/>
  <c r="S43" i="3"/>
  <c r="R44" i="5"/>
  <c r="Q44" i="18" s="1"/>
  <c r="T44" i="5"/>
  <c r="S44" i="18" s="1"/>
  <c r="S44" i="5"/>
  <c r="R44" i="18" s="1"/>
  <c r="U44" i="5"/>
  <c r="T44" i="18" s="1"/>
  <c r="S43" i="4"/>
  <c r="R43" i="9" s="1"/>
  <c r="T43" i="4"/>
  <c r="S43" i="9" s="1"/>
  <c r="R43" i="4"/>
  <c r="Q43" i="9" s="1"/>
  <c r="U43" i="4"/>
  <c r="T43" i="9" s="1"/>
  <c r="S44" i="1"/>
  <c r="R44" i="6" s="1"/>
  <c r="T44" i="1"/>
  <c r="S44" i="6" s="1"/>
  <c r="R44" i="1"/>
  <c r="Q44" i="6" s="1"/>
  <c r="Q44" i="1"/>
  <c r="P44" i="6" s="1"/>
  <c r="C43" i="7"/>
  <c r="C43" i="6"/>
  <c r="R42" i="11"/>
  <c r="C43" i="9"/>
  <c r="P43" i="7"/>
  <c r="E44" i="6"/>
  <c r="W44" i="10"/>
  <c r="C43" i="5"/>
  <c r="C43" i="18" s="1"/>
  <c r="D42" i="3"/>
  <c r="C42" i="1"/>
  <c r="D42" i="1"/>
  <c r="C42" i="4"/>
  <c r="D43" i="5"/>
  <c r="C42" i="3"/>
  <c r="D42" i="4"/>
  <c r="U44" i="6"/>
  <c r="V44" i="7"/>
  <c r="R44" i="7"/>
  <c r="R8" i="7" s="1"/>
  <c r="S44" i="7"/>
  <c r="S8" i="7" s="1"/>
  <c r="Q44" i="7"/>
  <c r="Q8" i="7" s="1"/>
  <c r="T44" i="7"/>
  <c r="T8" i="7" s="1"/>
  <c r="D43" i="9"/>
  <c r="P43" i="9"/>
  <c r="D43" i="6"/>
  <c r="H43" i="9"/>
  <c r="G44" i="6"/>
  <c r="J44" i="6"/>
  <c r="H44" i="6"/>
  <c r="I44" i="6"/>
  <c r="K44" i="6"/>
  <c r="E44" i="7"/>
  <c r="X44" i="10"/>
  <c r="H43" i="7"/>
  <c r="O43" i="6"/>
  <c r="P44" i="18"/>
  <c r="G13" i="12"/>
  <c r="L13" i="12"/>
  <c r="E13" i="12"/>
  <c r="J13" i="12"/>
  <c r="K13" i="12"/>
  <c r="I13" i="12"/>
  <c r="N13" i="12"/>
  <c r="M13" i="12"/>
  <c r="H13" i="12"/>
  <c r="F13" i="12"/>
  <c r="D13" i="12"/>
  <c r="C13" i="2"/>
  <c r="H44" i="18"/>
  <c r="E44" i="18"/>
  <c r="D44" i="18"/>
  <c r="G43" i="7"/>
  <c r="D43" i="7"/>
  <c r="B13" i="2"/>
  <c r="P39" i="2"/>
  <c r="O39" i="2"/>
  <c r="Q40" i="2"/>
  <c r="E44" i="9"/>
  <c r="Y44" i="10"/>
  <c r="B42" i="10" l="1"/>
  <c r="P42" i="10" s="1"/>
  <c r="C42" i="10"/>
  <c r="Q42" i="10" s="1"/>
  <c r="P41" i="1"/>
  <c r="H41" i="4"/>
  <c r="Q41" i="4"/>
  <c r="E41" i="4"/>
  <c r="G41" i="4"/>
  <c r="G41" i="9" s="1"/>
  <c r="K41" i="10"/>
  <c r="Q41" i="3"/>
  <c r="J40" i="11"/>
  <c r="H42" i="5"/>
  <c r="Q42" i="5"/>
  <c r="E41" i="1"/>
  <c r="G42" i="5"/>
  <c r="G42" i="18" s="1"/>
  <c r="E42" i="5"/>
  <c r="H41" i="3"/>
  <c r="J41" i="10"/>
  <c r="E41" i="3"/>
  <c r="G41" i="3"/>
  <c r="G41" i="1"/>
  <c r="I41" i="10"/>
  <c r="W42" i="1"/>
  <c r="V42" i="1"/>
  <c r="J42" i="4"/>
  <c r="J42" i="9" s="1"/>
  <c r="I42" i="4"/>
  <c r="I42" i="9" s="1"/>
  <c r="L42" i="4"/>
  <c r="L42" i="9" s="1"/>
  <c r="K42" i="4"/>
  <c r="K42" i="9" s="1"/>
  <c r="I42" i="1"/>
  <c r="H42" i="1"/>
  <c r="K42" i="1"/>
  <c r="J42" i="1"/>
  <c r="R43" i="5"/>
  <c r="Q43" i="18" s="1"/>
  <c r="T43" i="5"/>
  <c r="S43" i="18" s="1"/>
  <c r="U43" i="5"/>
  <c r="T43" i="18" s="1"/>
  <c r="S43" i="5"/>
  <c r="R43" i="18" s="1"/>
  <c r="S42" i="3"/>
  <c r="U42" i="3"/>
  <c r="T42" i="3"/>
  <c r="R42" i="3"/>
  <c r="K42" i="3"/>
  <c r="K42" i="7" s="1"/>
  <c r="J42" i="3"/>
  <c r="J42" i="7" s="1"/>
  <c r="L42" i="3"/>
  <c r="L42" i="7" s="1"/>
  <c r="I42" i="3"/>
  <c r="I42" i="7" s="1"/>
  <c r="J43" i="5"/>
  <c r="J43" i="18" s="1"/>
  <c r="I43" i="5"/>
  <c r="I43" i="18" s="1"/>
  <c r="L43" i="5"/>
  <c r="L43" i="18" s="1"/>
  <c r="K43" i="5"/>
  <c r="K43" i="18" s="1"/>
  <c r="R42" i="4"/>
  <c r="Q42" i="9" s="1"/>
  <c r="S42" i="4"/>
  <c r="R42" i="9" s="1"/>
  <c r="T42" i="4"/>
  <c r="S42" i="9" s="1"/>
  <c r="U42" i="4"/>
  <c r="T42" i="9" s="1"/>
  <c r="G101" i="19"/>
  <c r="G102" i="19" s="1"/>
  <c r="J101" i="19"/>
  <c r="H101" i="19"/>
  <c r="I101" i="19"/>
  <c r="R43" i="1"/>
  <c r="Q43" i="6" s="1"/>
  <c r="T43" i="1"/>
  <c r="S43" i="6" s="1"/>
  <c r="S43" i="1"/>
  <c r="R43" i="6" s="1"/>
  <c r="Q43" i="1"/>
  <c r="P43" i="6" s="1"/>
  <c r="L42" i="11"/>
  <c r="C42" i="7"/>
  <c r="C42" i="9"/>
  <c r="C42" i="6"/>
  <c r="B12" i="2"/>
  <c r="Q39" i="2"/>
  <c r="O38" i="2"/>
  <c r="P38" i="2"/>
  <c r="E43" i="7"/>
  <c r="X43" i="10"/>
  <c r="C42" i="5"/>
  <c r="C42" i="18" s="1"/>
  <c r="D41" i="1"/>
  <c r="C41" i="1"/>
  <c r="C41" i="4"/>
  <c r="D42" i="5"/>
  <c r="D41" i="3"/>
  <c r="C41" i="3"/>
  <c r="D41" i="4"/>
  <c r="H42" i="9"/>
  <c r="O42" i="6"/>
  <c r="H42" i="7"/>
  <c r="E12" i="12"/>
  <c r="F12" i="12"/>
  <c r="J12" i="12"/>
  <c r="H12" i="12"/>
  <c r="N12" i="12"/>
  <c r="G12" i="12"/>
  <c r="L12" i="12"/>
  <c r="I12" i="12"/>
  <c r="K12" i="12"/>
  <c r="D12" i="12"/>
  <c r="M12" i="12"/>
  <c r="C12" i="2"/>
  <c r="U43" i="6"/>
  <c r="E43" i="6"/>
  <c r="W43" i="10"/>
  <c r="P42" i="7"/>
  <c r="P43" i="18"/>
  <c r="G43" i="6"/>
  <c r="I43" i="6"/>
  <c r="K43" i="6"/>
  <c r="J43" i="6"/>
  <c r="H43" i="6"/>
  <c r="D42" i="6"/>
  <c r="G42" i="7"/>
  <c r="D42" i="7"/>
  <c r="V43" i="7"/>
  <c r="T43" i="7"/>
  <c r="S43" i="7"/>
  <c r="Q43" i="7"/>
  <c r="R43" i="7"/>
  <c r="E43" i="9"/>
  <c r="Y43" i="10"/>
  <c r="D42" i="9"/>
  <c r="P42" i="9"/>
  <c r="D43" i="18"/>
  <c r="E43" i="18"/>
  <c r="H43" i="18"/>
  <c r="U43" i="10" l="1"/>
  <c r="T43" i="10"/>
  <c r="B41" i="10"/>
  <c r="P41" i="10" s="1"/>
  <c r="C41" i="10"/>
  <c r="Q41" i="10" s="1"/>
  <c r="W41" i="1"/>
  <c r="V41" i="1"/>
  <c r="P40" i="1"/>
  <c r="H40" i="4"/>
  <c r="Q40" i="4"/>
  <c r="E40" i="4"/>
  <c r="G40" i="4"/>
  <c r="G40" i="9" s="1"/>
  <c r="Q41" i="5"/>
  <c r="Q40" i="3"/>
  <c r="K40" i="10"/>
  <c r="H41" i="5"/>
  <c r="J39" i="11"/>
  <c r="G41" i="5"/>
  <c r="G41" i="18" s="1"/>
  <c r="E40" i="1"/>
  <c r="H40" i="3"/>
  <c r="E41" i="5"/>
  <c r="G40" i="3"/>
  <c r="I40" i="10"/>
  <c r="G40" i="1"/>
  <c r="E40" i="3"/>
  <c r="J40" i="10"/>
  <c r="I41" i="3"/>
  <c r="I41" i="7" s="1"/>
  <c r="J41" i="3"/>
  <c r="J41" i="7" s="1"/>
  <c r="L41" i="3"/>
  <c r="L41" i="7" s="1"/>
  <c r="K41" i="3"/>
  <c r="K41" i="7" s="1"/>
  <c r="R41" i="3"/>
  <c r="T41" i="3"/>
  <c r="U41" i="3"/>
  <c r="S41" i="3"/>
  <c r="J41" i="4"/>
  <c r="J41" i="9" s="1"/>
  <c r="L41" i="4"/>
  <c r="L41" i="9" s="1"/>
  <c r="I41" i="4"/>
  <c r="I41" i="9" s="1"/>
  <c r="K41" i="4"/>
  <c r="K41" i="9" s="1"/>
  <c r="J42" i="5"/>
  <c r="J42" i="18" s="1"/>
  <c r="I42" i="5"/>
  <c r="I42" i="18" s="1"/>
  <c r="L42" i="5"/>
  <c r="L42" i="18" s="1"/>
  <c r="K42" i="5"/>
  <c r="K42" i="18" s="1"/>
  <c r="H41" i="1"/>
  <c r="K41" i="1"/>
  <c r="J41" i="1"/>
  <c r="I41" i="1"/>
  <c r="T41" i="4"/>
  <c r="S41" i="9" s="1"/>
  <c r="S41" i="4"/>
  <c r="R41" i="9" s="1"/>
  <c r="U41" i="4"/>
  <c r="T41" i="9" s="1"/>
  <c r="R41" i="4"/>
  <c r="Q41" i="9" s="1"/>
  <c r="R42" i="5"/>
  <c r="Q42" i="18" s="1"/>
  <c r="U42" i="5"/>
  <c r="T42" i="18" s="1"/>
  <c r="S42" i="5"/>
  <c r="R42" i="18" s="1"/>
  <c r="T42" i="5"/>
  <c r="S42" i="18" s="1"/>
  <c r="L41" i="11"/>
  <c r="S42" i="1"/>
  <c r="R42" i="6" s="1"/>
  <c r="Q42" i="1"/>
  <c r="P42" i="6" s="1"/>
  <c r="T42" i="1"/>
  <c r="S42" i="6" s="1"/>
  <c r="R42" i="1"/>
  <c r="Q42" i="6" s="1"/>
  <c r="C41" i="7"/>
  <c r="C41" i="9"/>
  <c r="R41" i="11"/>
  <c r="C41" i="6"/>
  <c r="L40" i="11"/>
  <c r="E42" i="9"/>
  <c r="Y42" i="10"/>
  <c r="E42" i="6"/>
  <c r="W42" i="10"/>
  <c r="D41" i="7"/>
  <c r="G41" i="7"/>
  <c r="H41" i="7"/>
  <c r="D41" i="6"/>
  <c r="G11" i="12"/>
  <c r="I11" i="12"/>
  <c r="N11" i="12"/>
  <c r="D11" i="12"/>
  <c r="M11" i="12"/>
  <c r="K11" i="12"/>
  <c r="H11" i="12"/>
  <c r="F11" i="12"/>
  <c r="L11" i="12"/>
  <c r="E11" i="12"/>
  <c r="J11" i="12"/>
  <c r="C11" i="2"/>
  <c r="G42" i="6"/>
  <c r="I42" i="6"/>
  <c r="H42" i="6"/>
  <c r="K42" i="6"/>
  <c r="J42" i="6"/>
  <c r="O41" i="6"/>
  <c r="C41" i="5"/>
  <c r="C41" i="18" s="1"/>
  <c r="D40" i="3"/>
  <c r="D40" i="4"/>
  <c r="C40" i="1"/>
  <c r="D40" i="1"/>
  <c r="C40" i="3"/>
  <c r="D41" i="5"/>
  <c r="C40" i="4"/>
  <c r="V42" i="7"/>
  <c r="Q42" i="7"/>
  <c r="S42" i="7"/>
  <c r="T42" i="7"/>
  <c r="R42" i="7"/>
  <c r="U42" i="6"/>
  <c r="D41" i="9"/>
  <c r="H41" i="9"/>
  <c r="H42" i="18"/>
  <c r="D42" i="18"/>
  <c r="E42" i="18"/>
  <c r="P41" i="7"/>
  <c r="P41" i="9"/>
  <c r="B11" i="2"/>
  <c r="O37" i="2"/>
  <c r="Q38" i="2"/>
  <c r="P37" i="2"/>
  <c r="E42" i="7"/>
  <c r="X42" i="10"/>
  <c r="P42" i="18"/>
  <c r="T41" i="10" l="1"/>
  <c r="U41" i="10"/>
  <c r="T42" i="10"/>
  <c r="U42" i="10"/>
  <c r="B40" i="10"/>
  <c r="P40" i="10" s="1"/>
  <c r="C40" i="10"/>
  <c r="Q40" i="10" s="1"/>
  <c r="P39" i="1"/>
  <c r="Q39" i="4"/>
  <c r="H39" i="4"/>
  <c r="G39" i="4"/>
  <c r="G39" i="9" s="1"/>
  <c r="E39" i="4"/>
  <c r="Q40" i="5"/>
  <c r="Q39" i="3"/>
  <c r="J38" i="11"/>
  <c r="K39" i="10"/>
  <c r="H40" i="5"/>
  <c r="E39" i="1"/>
  <c r="H39" i="3"/>
  <c r="E40" i="5"/>
  <c r="G40" i="5"/>
  <c r="G40" i="18" s="1"/>
  <c r="I39" i="10"/>
  <c r="G39" i="1"/>
  <c r="E39" i="3"/>
  <c r="G39" i="3"/>
  <c r="J39" i="10"/>
  <c r="V40" i="1"/>
  <c r="W40" i="1"/>
  <c r="U40" i="3"/>
  <c r="T40" i="3"/>
  <c r="S40" i="3"/>
  <c r="R40" i="3"/>
  <c r="J40" i="3"/>
  <c r="J40" i="7" s="1"/>
  <c r="I40" i="3"/>
  <c r="I40" i="7" s="1"/>
  <c r="L40" i="3"/>
  <c r="L40" i="7" s="1"/>
  <c r="K40" i="3"/>
  <c r="K40" i="7" s="1"/>
  <c r="S40" i="4"/>
  <c r="R40" i="9" s="1"/>
  <c r="R40" i="4"/>
  <c r="Q40" i="9" s="1"/>
  <c r="U40" i="4"/>
  <c r="T40" i="9" s="1"/>
  <c r="T40" i="4"/>
  <c r="S40" i="9" s="1"/>
  <c r="J41" i="5"/>
  <c r="J41" i="18" s="1"/>
  <c r="I41" i="5"/>
  <c r="I41" i="18" s="1"/>
  <c r="L41" i="5"/>
  <c r="L41" i="18" s="1"/>
  <c r="K41" i="5"/>
  <c r="K41" i="18" s="1"/>
  <c r="J40" i="4"/>
  <c r="J40" i="9" s="1"/>
  <c r="L40" i="4"/>
  <c r="L40" i="9" s="1"/>
  <c r="I40" i="4"/>
  <c r="I40" i="9" s="1"/>
  <c r="K40" i="4"/>
  <c r="K40" i="9" s="1"/>
  <c r="R41" i="5"/>
  <c r="Q41" i="18" s="1"/>
  <c r="T41" i="5"/>
  <c r="S41" i="18" s="1"/>
  <c r="S41" i="5"/>
  <c r="R41" i="18" s="1"/>
  <c r="U41" i="5"/>
  <c r="T41" i="18" s="1"/>
  <c r="I40" i="1"/>
  <c r="H40" i="1"/>
  <c r="K40" i="1"/>
  <c r="J40" i="1"/>
  <c r="T41" i="1"/>
  <c r="S41" i="6" s="1"/>
  <c r="Q41" i="1"/>
  <c r="P41" i="6" s="1"/>
  <c r="R41" i="1"/>
  <c r="Q41" i="6" s="1"/>
  <c r="S41" i="1"/>
  <c r="R41" i="6" s="1"/>
  <c r="R40" i="11"/>
  <c r="C40" i="7"/>
  <c r="C40" i="9"/>
  <c r="C40" i="6"/>
  <c r="L39" i="11"/>
  <c r="C39" i="3"/>
  <c r="C39" i="1"/>
  <c r="D39" i="1"/>
  <c r="D39" i="4"/>
  <c r="C39" i="4"/>
  <c r="C40" i="5"/>
  <c r="C40" i="18" s="1"/>
  <c r="D39" i="3"/>
  <c r="D40" i="5"/>
  <c r="V41" i="7"/>
  <c r="R41" i="7"/>
  <c r="S41" i="7"/>
  <c r="Q41" i="7"/>
  <c r="T41" i="7"/>
  <c r="H41" i="18"/>
  <c r="P40" i="7"/>
  <c r="H40" i="9"/>
  <c r="D41" i="18"/>
  <c r="E41" i="18"/>
  <c r="O40" i="6"/>
  <c r="H40" i="7"/>
  <c r="G41" i="6"/>
  <c r="K41" i="6"/>
  <c r="J41" i="6"/>
  <c r="I41" i="6"/>
  <c r="H41" i="6"/>
  <c r="E41" i="7"/>
  <c r="X41" i="10"/>
  <c r="E10" i="12"/>
  <c r="J10" i="12"/>
  <c r="H10" i="12"/>
  <c r="M10" i="12"/>
  <c r="D10" i="12"/>
  <c r="N10" i="12"/>
  <c r="G10" i="12"/>
  <c r="L10" i="12"/>
  <c r="K10" i="12"/>
  <c r="F10" i="12"/>
  <c r="I10" i="12"/>
  <c r="C10" i="2"/>
  <c r="E41" i="9"/>
  <c r="Y41" i="10"/>
  <c r="P41" i="18"/>
  <c r="G40" i="7"/>
  <c r="D40" i="7"/>
  <c r="P40" i="9"/>
  <c r="E41" i="6"/>
  <c r="W41" i="10"/>
  <c r="B10" i="2"/>
  <c r="O36" i="2"/>
  <c r="P36" i="2"/>
  <c r="Q37" i="2"/>
  <c r="D40" i="6"/>
  <c r="D40" i="9"/>
  <c r="U41" i="6"/>
  <c r="U40" i="10" l="1"/>
  <c r="T40" i="10"/>
  <c r="B39" i="10"/>
  <c r="C39" i="10"/>
  <c r="Q39" i="10" s="1"/>
  <c r="P38" i="1"/>
  <c r="H38" i="4"/>
  <c r="Q38" i="4"/>
  <c r="E38" i="4"/>
  <c r="G38" i="4"/>
  <c r="G38" i="9" s="1"/>
  <c r="H39" i="5"/>
  <c r="K38" i="10"/>
  <c r="Q38" i="3"/>
  <c r="Q39" i="5"/>
  <c r="J37" i="11"/>
  <c r="E38" i="1"/>
  <c r="H38" i="3"/>
  <c r="E39" i="5"/>
  <c r="G39" i="5"/>
  <c r="G39" i="18" s="1"/>
  <c r="I38" i="10"/>
  <c r="G38" i="1"/>
  <c r="E38" i="3"/>
  <c r="G38" i="3"/>
  <c r="J38" i="10"/>
  <c r="W39" i="1"/>
  <c r="V39" i="1"/>
  <c r="I39" i="3"/>
  <c r="I39" i="7" s="1"/>
  <c r="J39" i="3"/>
  <c r="J39" i="7" s="1"/>
  <c r="L39" i="3"/>
  <c r="L39" i="7" s="1"/>
  <c r="K39" i="3"/>
  <c r="K39" i="7" s="1"/>
  <c r="U39" i="3"/>
  <c r="T39" i="3"/>
  <c r="S39" i="3"/>
  <c r="R39" i="3"/>
  <c r="J40" i="5"/>
  <c r="J40" i="18" s="1"/>
  <c r="L40" i="5"/>
  <c r="L40" i="18" s="1"/>
  <c r="K40" i="5"/>
  <c r="K40" i="18" s="1"/>
  <c r="I40" i="5"/>
  <c r="I40" i="18" s="1"/>
  <c r="I39" i="4"/>
  <c r="I39" i="9" s="1"/>
  <c r="L39" i="4"/>
  <c r="L39" i="9" s="1"/>
  <c r="K39" i="4"/>
  <c r="K39" i="9" s="1"/>
  <c r="J39" i="4"/>
  <c r="J39" i="9" s="1"/>
  <c r="H39" i="1"/>
  <c r="K39" i="1"/>
  <c r="J39" i="1"/>
  <c r="I39" i="1"/>
  <c r="R39" i="4"/>
  <c r="Q39" i="9" s="1"/>
  <c r="S39" i="4"/>
  <c r="R39" i="9" s="1"/>
  <c r="T39" i="4"/>
  <c r="S39" i="9" s="1"/>
  <c r="U39" i="4"/>
  <c r="T39" i="9" s="1"/>
  <c r="U40" i="5"/>
  <c r="T40" i="18" s="1"/>
  <c r="R40" i="5"/>
  <c r="Q40" i="18" s="1"/>
  <c r="S40" i="5"/>
  <c r="R40" i="18" s="1"/>
  <c r="T40" i="5"/>
  <c r="S40" i="18" s="1"/>
  <c r="T40" i="1"/>
  <c r="S40" i="6" s="1"/>
  <c r="R40" i="1"/>
  <c r="Q40" i="6" s="1"/>
  <c r="S40" i="1"/>
  <c r="R40" i="6" s="1"/>
  <c r="Q40" i="1"/>
  <c r="P40" i="6" s="1"/>
  <c r="R39" i="11"/>
  <c r="C39" i="7"/>
  <c r="C39" i="6"/>
  <c r="L38" i="11"/>
  <c r="C39" i="9"/>
  <c r="E40" i="9"/>
  <c r="Y40" i="10"/>
  <c r="G40" i="6"/>
  <c r="H40" i="6"/>
  <c r="K40" i="6"/>
  <c r="J40" i="6"/>
  <c r="I40" i="6"/>
  <c r="C38" i="4"/>
  <c r="D38" i="1"/>
  <c r="C39" i="5"/>
  <c r="C39" i="18" s="1"/>
  <c r="D38" i="3"/>
  <c r="D39" i="5"/>
  <c r="C38" i="1"/>
  <c r="C38" i="3"/>
  <c r="D38" i="4"/>
  <c r="U40" i="6"/>
  <c r="P40" i="18"/>
  <c r="D39" i="6"/>
  <c r="P39" i="10"/>
  <c r="P39" i="7"/>
  <c r="E40" i="6"/>
  <c r="W40" i="10"/>
  <c r="G9" i="12"/>
  <c r="M9" i="12"/>
  <c r="D9" i="12"/>
  <c r="H9" i="12"/>
  <c r="F9" i="12"/>
  <c r="L9" i="12"/>
  <c r="E9" i="12"/>
  <c r="J9" i="12"/>
  <c r="K9" i="12"/>
  <c r="I9" i="12"/>
  <c r="N9" i="12"/>
  <c r="C9" i="2"/>
  <c r="E40" i="7"/>
  <c r="X40" i="10"/>
  <c r="E40" i="18"/>
  <c r="D40" i="18"/>
  <c r="B9" i="2"/>
  <c r="D8" i="12" s="1"/>
  <c r="P35" i="2"/>
  <c r="O35" i="2"/>
  <c r="Q36" i="2"/>
  <c r="D39" i="9"/>
  <c r="P39" i="9"/>
  <c r="H39" i="7"/>
  <c r="V40" i="7"/>
  <c r="Q40" i="7"/>
  <c r="T40" i="7"/>
  <c r="R40" i="7"/>
  <c r="S40" i="7"/>
  <c r="G39" i="7"/>
  <c r="D39" i="7"/>
  <c r="H40" i="18"/>
  <c r="O39" i="6"/>
  <c r="H39" i="9"/>
  <c r="U39" i="10" l="1"/>
  <c r="T39" i="10"/>
  <c r="B38" i="10"/>
  <c r="P38" i="10" s="1"/>
  <c r="C38" i="10"/>
  <c r="Q38" i="10" s="1"/>
  <c r="P37" i="1"/>
  <c r="H37" i="4"/>
  <c r="Q37" i="4"/>
  <c r="E37" i="4"/>
  <c r="G37" i="4"/>
  <c r="G37" i="9" s="1"/>
  <c r="K37" i="10"/>
  <c r="Q38" i="5"/>
  <c r="Q37" i="3"/>
  <c r="H38" i="5"/>
  <c r="J36" i="11"/>
  <c r="T36" i="11" s="1"/>
  <c r="G38" i="5"/>
  <c r="G38" i="18" s="1"/>
  <c r="H37" i="3"/>
  <c r="G37" i="3"/>
  <c r="G37" i="1"/>
  <c r="E37" i="3"/>
  <c r="E38" i="5"/>
  <c r="I37" i="10"/>
  <c r="E37" i="1"/>
  <c r="J37" i="10"/>
  <c r="V38" i="1"/>
  <c r="W38" i="1"/>
  <c r="K38" i="3"/>
  <c r="K38" i="7" s="1"/>
  <c r="J38" i="3"/>
  <c r="J38" i="7" s="1"/>
  <c r="L38" i="3"/>
  <c r="L38" i="7" s="1"/>
  <c r="I38" i="3"/>
  <c r="I38" i="7" s="1"/>
  <c r="I38" i="1"/>
  <c r="H38" i="1"/>
  <c r="J38" i="1"/>
  <c r="K38" i="1"/>
  <c r="S39" i="5"/>
  <c r="R39" i="18" s="1"/>
  <c r="U39" i="5"/>
  <c r="T39" i="18" s="1"/>
  <c r="T39" i="5"/>
  <c r="S39" i="18" s="1"/>
  <c r="R39" i="5"/>
  <c r="Q39" i="18" s="1"/>
  <c r="J39" i="5"/>
  <c r="J39" i="18" s="1"/>
  <c r="I39" i="5"/>
  <c r="I39" i="18" s="1"/>
  <c r="K39" i="5"/>
  <c r="K39" i="18" s="1"/>
  <c r="L39" i="5"/>
  <c r="L39" i="18" s="1"/>
  <c r="S38" i="3"/>
  <c r="U38" i="3"/>
  <c r="T38" i="3"/>
  <c r="R38" i="3"/>
  <c r="L38" i="4"/>
  <c r="L38" i="9" s="1"/>
  <c r="J38" i="4"/>
  <c r="J38" i="9" s="1"/>
  <c r="I38" i="4"/>
  <c r="I38" i="9" s="1"/>
  <c r="K38" i="4"/>
  <c r="K38" i="9" s="1"/>
  <c r="R38" i="4"/>
  <c r="Q38" i="9" s="1"/>
  <c r="U38" i="4"/>
  <c r="T38" i="9" s="1"/>
  <c r="T38" i="4"/>
  <c r="S38" i="9" s="1"/>
  <c r="S38" i="4"/>
  <c r="R38" i="9" s="1"/>
  <c r="R39" i="1"/>
  <c r="Q39" i="6" s="1"/>
  <c r="Q39" i="1"/>
  <c r="P39" i="6" s="1"/>
  <c r="S39" i="1"/>
  <c r="R39" i="6" s="1"/>
  <c r="T39" i="1"/>
  <c r="S39" i="6" s="1"/>
  <c r="C38" i="6"/>
  <c r="L37" i="11"/>
  <c r="R38" i="11"/>
  <c r="C38" i="7"/>
  <c r="C38" i="9"/>
  <c r="T37" i="11"/>
  <c r="T67" i="11"/>
  <c r="T68" i="11"/>
  <c r="D37" i="1"/>
  <c r="D37" i="3"/>
  <c r="C37" i="1"/>
  <c r="C37" i="3"/>
  <c r="D38" i="5"/>
  <c r="C37" i="4"/>
  <c r="C38" i="5"/>
  <c r="C38" i="18" s="1"/>
  <c r="D37" i="4"/>
  <c r="V39" i="7"/>
  <c r="S39" i="7"/>
  <c r="T39" i="7"/>
  <c r="Q39" i="7"/>
  <c r="R39" i="7"/>
  <c r="E39" i="6"/>
  <c r="W39" i="10"/>
  <c r="H38" i="7"/>
  <c r="E39" i="18"/>
  <c r="D39" i="18"/>
  <c r="E8" i="12"/>
  <c r="N8" i="12"/>
  <c r="G8" i="12"/>
  <c r="L8" i="12"/>
  <c r="I8" i="12"/>
  <c r="K8" i="12"/>
  <c r="M8" i="12"/>
  <c r="F8" i="12"/>
  <c r="J8" i="12"/>
  <c r="H8" i="12"/>
  <c r="P38" i="9"/>
  <c r="D38" i="6"/>
  <c r="O38" i="6"/>
  <c r="U39" i="6"/>
  <c r="E39" i="9"/>
  <c r="Y39" i="10"/>
  <c r="H39" i="18"/>
  <c r="P38" i="7"/>
  <c r="P39" i="18"/>
  <c r="E39" i="7"/>
  <c r="X39" i="10"/>
  <c r="O34" i="2"/>
  <c r="Q35" i="2"/>
  <c r="P34" i="2"/>
  <c r="T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G39" i="6"/>
  <c r="J39" i="6"/>
  <c r="H39" i="6"/>
  <c r="K39" i="6"/>
  <c r="I39" i="6"/>
  <c r="D38" i="9"/>
  <c r="G38" i="7"/>
  <c r="D38" i="7"/>
  <c r="H38" i="9"/>
  <c r="T38" i="10" l="1"/>
  <c r="U38" i="10"/>
  <c r="C37" i="10"/>
  <c r="B37" i="10"/>
  <c r="P37" i="10" s="1"/>
  <c r="P36" i="1"/>
  <c r="Q36" i="4"/>
  <c r="H36" i="4"/>
  <c r="E36" i="4"/>
  <c r="G36" i="4"/>
  <c r="G36" i="9" s="1"/>
  <c r="K36" i="10"/>
  <c r="H37" i="5"/>
  <c r="Q37" i="5"/>
  <c r="J35" i="11"/>
  <c r="T35" i="11" s="1"/>
  <c r="Q36" i="3"/>
  <c r="G37" i="5"/>
  <c r="G37" i="18" s="1"/>
  <c r="H36" i="3"/>
  <c r="E36" i="1"/>
  <c r="G36" i="3"/>
  <c r="I36" i="10"/>
  <c r="G36" i="1"/>
  <c r="E37" i="5"/>
  <c r="E36" i="3"/>
  <c r="J36" i="10"/>
  <c r="V37" i="1"/>
  <c r="W37" i="1"/>
  <c r="T37" i="3"/>
  <c r="U37" i="3"/>
  <c r="S37" i="3"/>
  <c r="R37" i="3"/>
  <c r="J38" i="5"/>
  <c r="J38" i="18" s="1"/>
  <c r="I38" i="5"/>
  <c r="I38" i="18" s="1"/>
  <c r="L38" i="5"/>
  <c r="L38" i="18" s="1"/>
  <c r="K38" i="5"/>
  <c r="K38" i="18" s="1"/>
  <c r="T37" i="4"/>
  <c r="S37" i="9" s="1"/>
  <c r="U37" i="4"/>
  <c r="T37" i="9" s="1"/>
  <c r="S37" i="4"/>
  <c r="R37" i="9" s="1"/>
  <c r="R37" i="4"/>
  <c r="Q37" i="9" s="1"/>
  <c r="I37" i="4"/>
  <c r="I37" i="9" s="1"/>
  <c r="L37" i="4"/>
  <c r="L37" i="9" s="1"/>
  <c r="J37" i="4"/>
  <c r="J37" i="9" s="1"/>
  <c r="K37" i="4"/>
  <c r="K37" i="9" s="1"/>
  <c r="R38" i="5"/>
  <c r="Q38" i="18" s="1"/>
  <c r="T38" i="5"/>
  <c r="S38" i="18" s="1"/>
  <c r="S38" i="5"/>
  <c r="R38" i="18" s="1"/>
  <c r="U38" i="5"/>
  <c r="T38" i="18" s="1"/>
  <c r="J37" i="3"/>
  <c r="J37" i="7" s="1"/>
  <c r="I37" i="3"/>
  <c r="I37" i="7" s="1"/>
  <c r="K37" i="3"/>
  <c r="K37" i="7" s="1"/>
  <c r="L37" i="3"/>
  <c r="L37" i="7" s="1"/>
  <c r="I37" i="1"/>
  <c r="H37" i="1"/>
  <c r="K37" i="1"/>
  <c r="J37" i="1"/>
  <c r="S38" i="1"/>
  <c r="R38" i="6" s="1"/>
  <c r="R38" i="1"/>
  <c r="Q38" i="6" s="1"/>
  <c r="Q38" i="1"/>
  <c r="P38" i="6" s="1"/>
  <c r="T38" i="1"/>
  <c r="S38" i="6" s="1"/>
  <c r="R37" i="11"/>
  <c r="C37" i="7"/>
  <c r="C37" i="9"/>
  <c r="C37" i="6"/>
  <c r="E38" i="7"/>
  <c r="X38" i="10"/>
  <c r="U38" i="6"/>
  <c r="G38" i="6"/>
  <c r="J38" i="6"/>
  <c r="I38" i="6"/>
  <c r="H38" i="6"/>
  <c r="K38" i="6"/>
  <c r="D37" i="9"/>
  <c r="P37" i="9"/>
  <c r="D37" i="7"/>
  <c r="G37" i="7"/>
  <c r="E38" i="9"/>
  <c r="Y38" i="10"/>
  <c r="H37" i="9"/>
  <c r="D38" i="18"/>
  <c r="E38" i="18"/>
  <c r="O37" i="6"/>
  <c r="O33" i="2"/>
  <c r="P33" i="2"/>
  <c r="Q34" i="2"/>
  <c r="V38" i="7"/>
  <c r="R38" i="7"/>
  <c r="Q38" i="7"/>
  <c r="T38" i="7"/>
  <c r="S38" i="7"/>
  <c r="P38" i="18"/>
  <c r="P37" i="7"/>
  <c r="D37" i="6"/>
  <c r="Q37" i="10"/>
  <c r="C36" i="4"/>
  <c r="C36" i="3"/>
  <c r="D36" i="4"/>
  <c r="C37" i="5"/>
  <c r="C37" i="18" s="1"/>
  <c r="C36" i="1"/>
  <c r="D36" i="1"/>
  <c r="D36" i="3"/>
  <c r="D37" i="5"/>
  <c r="E38" i="6"/>
  <c r="W38" i="10"/>
  <c r="H37" i="7"/>
  <c r="H38" i="18"/>
  <c r="B36" i="10" l="1"/>
  <c r="P36" i="10" s="1"/>
  <c r="C36" i="10"/>
  <c r="Q36" i="10" s="1"/>
  <c r="P35" i="1"/>
  <c r="Q35" i="4"/>
  <c r="H35" i="4"/>
  <c r="G35" i="4"/>
  <c r="G35" i="9" s="1"/>
  <c r="E35" i="4"/>
  <c r="K35" i="10"/>
  <c r="J34" i="11"/>
  <c r="T34" i="11" s="1"/>
  <c r="Q36" i="5"/>
  <c r="H36" i="5"/>
  <c r="Q35" i="3"/>
  <c r="G36" i="5"/>
  <c r="G36" i="18" s="1"/>
  <c r="E36" i="5"/>
  <c r="H35" i="3"/>
  <c r="E35" i="1"/>
  <c r="G35" i="3"/>
  <c r="I35" i="10"/>
  <c r="E35" i="3"/>
  <c r="J35" i="10"/>
  <c r="G35" i="1"/>
  <c r="W36" i="1"/>
  <c r="V36" i="1"/>
  <c r="S37" i="5"/>
  <c r="R37" i="18" s="1"/>
  <c r="U37" i="5"/>
  <c r="T37" i="18" s="1"/>
  <c r="R37" i="5"/>
  <c r="Q37" i="18" s="1"/>
  <c r="T37" i="5"/>
  <c r="S37" i="18" s="1"/>
  <c r="J36" i="4"/>
  <c r="J36" i="9" s="1"/>
  <c r="L36" i="4"/>
  <c r="L36" i="9" s="1"/>
  <c r="I36" i="4"/>
  <c r="I36" i="9" s="1"/>
  <c r="K36" i="4"/>
  <c r="K36" i="9" s="1"/>
  <c r="U36" i="4"/>
  <c r="T36" i="9" s="1"/>
  <c r="R36" i="4"/>
  <c r="Q36" i="9" s="1"/>
  <c r="S36" i="4"/>
  <c r="R36" i="9" s="1"/>
  <c r="T36" i="4"/>
  <c r="S36" i="9" s="1"/>
  <c r="K36" i="3"/>
  <c r="K36" i="7" s="1"/>
  <c r="J36" i="3"/>
  <c r="J36" i="7" s="1"/>
  <c r="L36" i="3"/>
  <c r="L36" i="7" s="1"/>
  <c r="I36" i="3"/>
  <c r="I36" i="7" s="1"/>
  <c r="J37" i="5"/>
  <c r="J37" i="18" s="1"/>
  <c r="I37" i="5"/>
  <c r="I37" i="18" s="1"/>
  <c r="L37" i="5"/>
  <c r="L37" i="18" s="1"/>
  <c r="K37" i="5"/>
  <c r="K37" i="18" s="1"/>
  <c r="T36" i="3"/>
  <c r="U36" i="3"/>
  <c r="S36" i="3"/>
  <c r="R36" i="3"/>
  <c r="I36" i="1"/>
  <c r="H36" i="1"/>
  <c r="K36" i="1"/>
  <c r="J36" i="1"/>
  <c r="R37" i="1"/>
  <c r="Q37" i="6" s="1"/>
  <c r="S37" i="1"/>
  <c r="R37" i="6" s="1"/>
  <c r="T37" i="1"/>
  <c r="S37" i="6" s="1"/>
  <c r="Q37" i="1"/>
  <c r="P37" i="6" s="1"/>
  <c r="L36" i="11"/>
  <c r="C36" i="6"/>
  <c r="L35" i="11"/>
  <c r="C36" i="9"/>
  <c r="R36" i="11"/>
  <c r="C36" i="7"/>
  <c r="E37" i="18"/>
  <c r="D37" i="18"/>
  <c r="D36" i="6"/>
  <c r="H36" i="9"/>
  <c r="U37" i="6"/>
  <c r="P36" i="9"/>
  <c r="D36" i="7"/>
  <c r="G36" i="7"/>
  <c r="O36" i="6"/>
  <c r="D36" i="9"/>
  <c r="E37" i="6"/>
  <c r="W37" i="10"/>
  <c r="Q33" i="2"/>
  <c r="O32" i="2"/>
  <c r="P32" i="2"/>
  <c r="E37" i="9"/>
  <c r="Y37" i="10"/>
  <c r="H36" i="7"/>
  <c r="H37" i="18"/>
  <c r="G37" i="6"/>
  <c r="H37" i="6"/>
  <c r="K37" i="6"/>
  <c r="J37" i="6"/>
  <c r="I37" i="6"/>
  <c r="E37" i="7"/>
  <c r="X37" i="10"/>
  <c r="P37" i="18"/>
  <c r="P36" i="7"/>
  <c r="V37" i="7"/>
  <c r="R37" i="7"/>
  <c r="Q37" i="7"/>
  <c r="S37" i="7"/>
  <c r="T37" i="7"/>
  <c r="D35" i="1"/>
  <c r="C35" i="1"/>
  <c r="D36" i="5"/>
  <c r="C35" i="4"/>
  <c r="C36" i="5"/>
  <c r="C36" i="18" s="1"/>
  <c r="D35" i="3"/>
  <c r="C35" i="3"/>
  <c r="D35" i="4"/>
  <c r="T36" i="10" l="1"/>
  <c r="U36" i="10"/>
  <c r="T37" i="10"/>
  <c r="U37" i="10"/>
  <c r="B35" i="10"/>
  <c r="P35" i="10" s="1"/>
  <c r="C35" i="10"/>
  <c r="Q35" i="10" s="1"/>
  <c r="P34" i="1"/>
  <c r="H34" i="4"/>
  <c r="Q34" i="4"/>
  <c r="E34" i="4"/>
  <c r="G34" i="4"/>
  <c r="G34" i="9" s="1"/>
  <c r="K34" i="10"/>
  <c r="H35" i="5"/>
  <c r="Q35" i="5"/>
  <c r="Q34" i="3"/>
  <c r="J33" i="11"/>
  <c r="T33" i="11" s="1"/>
  <c r="G35" i="5"/>
  <c r="G35" i="18" s="1"/>
  <c r="E34" i="1"/>
  <c r="G34" i="3"/>
  <c r="I34" i="10"/>
  <c r="E35" i="5"/>
  <c r="H34" i="3"/>
  <c r="G34" i="1"/>
  <c r="J34" i="10"/>
  <c r="E34" i="3"/>
  <c r="W35" i="1"/>
  <c r="V35" i="1"/>
  <c r="J36" i="5"/>
  <c r="J36" i="18" s="1"/>
  <c r="K36" i="5"/>
  <c r="K36" i="18" s="1"/>
  <c r="I36" i="5"/>
  <c r="I36" i="18" s="1"/>
  <c r="L36" i="5"/>
  <c r="L36" i="18" s="1"/>
  <c r="R35" i="4"/>
  <c r="Q35" i="9" s="1"/>
  <c r="S35" i="4"/>
  <c r="R35" i="9" s="1"/>
  <c r="T35" i="4"/>
  <c r="S35" i="9" s="1"/>
  <c r="U35" i="4"/>
  <c r="T35" i="9" s="1"/>
  <c r="I35" i="3"/>
  <c r="I35" i="7" s="1"/>
  <c r="J35" i="3"/>
  <c r="J35" i="7" s="1"/>
  <c r="L35" i="3"/>
  <c r="L35" i="7" s="1"/>
  <c r="K35" i="3"/>
  <c r="K35" i="7" s="1"/>
  <c r="T35" i="3"/>
  <c r="U35" i="3"/>
  <c r="T35" i="7" s="1"/>
  <c r="S35" i="3"/>
  <c r="R35" i="3"/>
  <c r="I35" i="1"/>
  <c r="H35" i="1"/>
  <c r="K35" i="1"/>
  <c r="J35" i="1"/>
  <c r="L35" i="4"/>
  <c r="L35" i="9" s="1"/>
  <c r="I35" i="4"/>
  <c r="I35" i="9" s="1"/>
  <c r="K35" i="4"/>
  <c r="K35" i="9" s="1"/>
  <c r="J35" i="4"/>
  <c r="J35" i="9" s="1"/>
  <c r="R36" i="5"/>
  <c r="Q36" i="18" s="1"/>
  <c r="T36" i="5"/>
  <c r="S36" i="18" s="1"/>
  <c r="U36" i="5"/>
  <c r="T36" i="18" s="1"/>
  <c r="S36" i="5"/>
  <c r="R36" i="18" s="1"/>
  <c r="R36" i="1"/>
  <c r="Q36" i="6" s="1"/>
  <c r="S36" i="1"/>
  <c r="R36" i="6" s="1"/>
  <c r="Q36" i="1"/>
  <c r="P36" i="6" s="1"/>
  <c r="T36" i="1"/>
  <c r="S36" i="6" s="1"/>
  <c r="R35" i="11"/>
  <c r="C35" i="6"/>
  <c r="L34" i="11"/>
  <c r="C35" i="7"/>
  <c r="C35" i="9"/>
  <c r="P35" i="7"/>
  <c r="P36" i="18"/>
  <c r="G35" i="7"/>
  <c r="D35" i="7"/>
  <c r="D35" i="6"/>
  <c r="V36" i="7"/>
  <c r="R36" i="7"/>
  <c r="S36" i="7"/>
  <c r="Q36" i="7"/>
  <c r="T36" i="7"/>
  <c r="E36" i="9"/>
  <c r="Y36" i="10"/>
  <c r="E36" i="6"/>
  <c r="W36" i="10"/>
  <c r="H36" i="18"/>
  <c r="D34" i="3"/>
  <c r="C34" i="4"/>
  <c r="D34" i="1"/>
  <c r="C35" i="5"/>
  <c r="C35" i="18" s="1"/>
  <c r="D35" i="5"/>
  <c r="C34" i="3"/>
  <c r="D34" i="4"/>
  <c r="C34" i="1"/>
  <c r="U36" i="6"/>
  <c r="G36" i="6"/>
  <c r="K36" i="6"/>
  <c r="J36" i="6"/>
  <c r="I36" i="6"/>
  <c r="H36" i="6"/>
  <c r="D35" i="9"/>
  <c r="H35" i="7"/>
  <c r="H35" i="9"/>
  <c r="P35" i="9"/>
  <c r="D36" i="18"/>
  <c r="E36" i="18"/>
  <c r="O35" i="6"/>
  <c r="O31" i="2"/>
  <c r="Q32" i="2"/>
  <c r="P31" i="2"/>
  <c r="E36" i="7"/>
  <c r="X36" i="10"/>
  <c r="U35" i="10" l="1"/>
  <c r="T35" i="10"/>
  <c r="B34" i="10"/>
  <c r="P34" i="10" s="1"/>
  <c r="C34" i="10"/>
  <c r="Q34" i="10" s="1"/>
  <c r="W34" i="1"/>
  <c r="V34" i="1"/>
  <c r="P33" i="1"/>
  <c r="H33" i="4"/>
  <c r="Q33" i="4"/>
  <c r="E33" i="4"/>
  <c r="G33" i="4"/>
  <c r="G33" i="9" s="1"/>
  <c r="Q34" i="5"/>
  <c r="K33" i="10"/>
  <c r="Q33" i="3"/>
  <c r="H34" i="5"/>
  <c r="J32" i="11"/>
  <c r="T32" i="11" s="1"/>
  <c r="E33" i="1"/>
  <c r="E34" i="5"/>
  <c r="G33" i="3"/>
  <c r="G34" i="5"/>
  <c r="G34" i="18" s="1"/>
  <c r="H33" i="3"/>
  <c r="G33" i="1"/>
  <c r="J33" i="10"/>
  <c r="I33" i="10"/>
  <c r="E33" i="3"/>
  <c r="T34" i="4"/>
  <c r="S34" i="9" s="1"/>
  <c r="R34" i="4"/>
  <c r="Q34" i="9" s="1"/>
  <c r="S34" i="4"/>
  <c r="R34" i="9" s="1"/>
  <c r="U34" i="4"/>
  <c r="T34" i="9" s="1"/>
  <c r="J34" i="3"/>
  <c r="J34" i="7" s="1"/>
  <c r="I34" i="3"/>
  <c r="I34" i="7" s="1"/>
  <c r="L34" i="3"/>
  <c r="L34" i="7" s="1"/>
  <c r="K34" i="3"/>
  <c r="K34" i="7" s="1"/>
  <c r="I34" i="1"/>
  <c r="K34" i="1"/>
  <c r="H34" i="1"/>
  <c r="J34" i="1"/>
  <c r="R34" i="3"/>
  <c r="U34" i="3"/>
  <c r="T34" i="3"/>
  <c r="S34" i="3"/>
  <c r="U35" i="5"/>
  <c r="T35" i="18" s="1"/>
  <c r="R35" i="5"/>
  <c r="Q35" i="18" s="1"/>
  <c r="S35" i="5"/>
  <c r="R35" i="18" s="1"/>
  <c r="T35" i="5"/>
  <c r="S35" i="18" s="1"/>
  <c r="J35" i="5"/>
  <c r="J35" i="18" s="1"/>
  <c r="K35" i="5"/>
  <c r="K35" i="18" s="1"/>
  <c r="I35" i="5"/>
  <c r="I35" i="18" s="1"/>
  <c r="L35" i="5"/>
  <c r="L35" i="18" s="1"/>
  <c r="I34" i="4"/>
  <c r="I34" i="9" s="1"/>
  <c r="J34" i="4"/>
  <c r="J34" i="9" s="1"/>
  <c r="K34" i="4"/>
  <c r="K34" i="9" s="1"/>
  <c r="L34" i="4"/>
  <c r="L34" i="9" s="1"/>
  <c r="R35" i="1"/>
  <c r="Q35" i="6" s="1"/>
  <c r="Q35" i="1"/>
  <c r="P35" i="6" s="1"/>
  <c r="S35" i="1"/>
  <c r="R35" i="6" s="1"/>
  <c r="T35" i="1"/>
  <c r="S35" i="6" s="1"/>
  <c r="R34" i="11"/>
  <c r="C34" i="6"/>
  <c r="L33" i="11"/>
  <c r="C34" i="9"/>
  <c r="C34" i="7"/>
  <c r="U35" i="6"/>
  <c r="P35" i="18"/>
  <c r="P34" i="7"/>
  <c r="O30" i="2"/>
  <c r="Q31" i="2"/>
  <c r="P30" i="2"/>
  <c r="D34" i="9"/>
  <c r="O34" i="6"/>
  <c r="D34" i="6"/>
  <c r="E35" i="6"/>
  <c r="W35" i="10"/>
  <c r="E35" i="7"/>
  <c r="X35" i="10"/>
  <c r="C33" i="3"/>
  <c r="D33" i="1"/>
  <c r="D33" i="4"/>
  <c r="D34" i="5"/>
  <c r="C33" i="4"/>
  <c r="C34" i="5"/>
  <c r="C34" i="18" s="1"/>
  <c r="C33" i="1"/>
  <c r="D33" i="3"/>
  <c r="P34" i="9"/>
  <c r="H34" i="9"/>
  <c r="H35" i="18"/>
  <c r="G34" i="7"/>
  <c r="D34" i="7"/>
  <c r="G35" i="6"/>
  <c r="H35" i="6"/>
  <c r="I35" i="6"/>
  <c r="K35" i="6"/>
  <c r="J35" i="6"/>
  <c r="E35" i="9"/>
  <c r="Y35" i="10"/>
  <c r="H34" i="7"/>
  <c r="D35" i="18"/>
  <c r="E35" i="18"/>
  <c r="V35" i="7"/>
  <c r="S35" i="7"/>
  <c r="R35" i="7"/>
  <c r="Q35" i="7"/>
  <c r="T34" i="10" l="1"/>
  <c r="U34" i="10"/>
  <c r="B33" i="10"/>
  <c r="C33" i="10"/>
  <c r="Q33" i="10" s="1"/>
  <c r="P32" i="1"/>
  <c r="H32" i="4"/>
  <c r="Q32" i="4"/>
  <c r="G32" i="4"/>
  <c r="G32" i="9" s="1"/>
  <c r="E32" i="4"/>
  <c r="H33" i="5"/>
  <c r="K32" i="10"/>
  <c r="Q33" i="5"/>
  <c r="J31" i="11"/>
  <c r="T31" i="11" s="1"/>
  <c r="Q32" i="3"/>
  <c r="E33" i="5"/>
  <c r="H32" i="3"/>
  <c r="G33" i="5"/>
  <c r="G33" i="18" s="1"/>
  <c r="E32" i="1"/>
  <c r="I32" i="10"/>
  <c r="G32" i="1"/>
  <c r="J32" i="10"/>
  <c r="G32" i="3"/>
  <c r="E32" i="3"/>
  <c r="V33" i="1"/>
  <c r="W33" i="1"/>
  <c r="J33" i="3"/>
  <c r="J33" i="7" s="1"/>
  <c r="I33" i="3"/>
  <c r="I33" i="7" s="1"/>
  <c r="L33" i="3"/>
  <c r="L33" i="7" s="1"/>
  <c r="K33" i="3"/>
  <c r="K33" i="7" s="1"/>
  <c r="S33" i="4"/>
  <c r="R33" i="9" s="1"/>
  <c r="R33" i="4"/>
  <c r="Q33" i="9" s="1"/>
  <c r="U33" i="4"/>
  <c r="T33" i="9" s="1"/>
  <c r="T33" i="4"/>
  <c r="S33" i="9" s="1"/>
  <c r="J34" i="5"/>
  <c r="J34" i="18" s="1"/>
  <c r="I34" i="5"/>
  <c r="I34" i="18" s="1"/>
  <c r="L34" i="5"/>
  <c r="L34" i="18" s="1"/>
  <c r="K34" i="5"/>
  <c r="K34" i="18" s="1"/>
  <c r="R33" i="3"/>
  <c r="T33" i="3"/>
  <c r="S33" i="3"/>
  <c r="U33" i="3"/>
  <c r="J33" i="4"/>
  <c r="J33" i="9" s="1"/>
  <c r="K33" i="4"/>
  <c r="K33" i="9" s="1"/>
  <c r="I33" i="4"/>
  <c r="I33" i="9" s="1"/>
  <c r="L33" i="4"/>
  <c r="L33" i="9" s="1"/>
  <c r="S34" i="5"/>
  <c r="R34" i="18" s="1"/>
  <c r="T34" i="5"/>
  <c r="S34" i="18" s="1"/>
  <c r="U34" i="5"/>
  <c r="T34" i="18" s="1"/>
  <c r="R34" i="5"/>
  <c r="Q34" i="18" s="1"/>
  <c r="K33" i="1"/>
  <c r="H33" i="1"/>
  <c r="J33" i="1"/>
  <c r="I33" i="1"/>
  <c r="R34" i="1"/>
  <c r="Q34" i="6" s="1"/>
  <c r="Q34" i="1"/>
  <c r="P34" i="6" s="1"/>
  <c r="S34" i="1"/>
  <c r="R34" i="6" s="1"/>
  <c r="T34" i="1"/>
  <c r="S34" i="6" s="1"/>
  <c r="R33" i="11"/>
  <c r="C33" i="6"/>
  <c r="L32" i="11"/>
  <c r="C33" i="9"/>
  <c r="C33" i="7"/>
  <c r="D33" i="7"/>
  <c r="G33" i="7"/>
  <c r="H33" i="7"/>
  <c r="D33" i="6"/>
  <c r="P33" i="10"/>
  <c r="O33" i="6"/>
  <c r="G34" i="6"/>
  <c r="K34" i="6"/>
  <c r="I34" i="6"/>
  <c r="H34" i="6"/>
  <c r="J34" i="6"/>
  <c r="V34" i="7"/>
  <c r="R34" i="7"/>
  <c r="S34" i="7"/>
  <c r="T34" i="7"/>
  <c r="Q34" i="7"/>
  <c r="E34" i="7"/>
  <c r="X34" i="10"/>
  <c r="D33" i="9"/>
  <c r="H33" i="9"/>
  <c r="E34" i="9"/>
  <c r="Y34" i="10"/>
  <c r="O29" i="2"/>
  <c r="P29" i="2"/>
  <c r="Q30" i="2"/>
  <c r="H34" i="18"/>
  <c r="E34" i="18"/>
  <c r="D34" i="18"/>
  <c r="P33" i="9"/>
  <c r="C32" i="3"/>
  <c r="D33" i="5"/>
  <c r="D32" i="3"/>
  <c r="D32" i="4"/>
  <c r="C32" i="4"/>
  <c r="C32" i="1"/>
  <c r="D32" i="1"/>
  <c r="C33" i="5"/>
  <c r="C33" i="18" s="1"/>
  <c r="P34" i="18"/>
  <c r="P33" i="7"/>
  <c r="E34" i="6"/>
  <c r="W34" i="10"/>
  <c r="U34" i="6"/>
  <c r="T33" i="10" l="1"/>
  <c r="U33" i="10"/>
  <c r="B32" i="10"/>
  <c r="C32" i="10"/>
  <c r="Q32" i="10" s="1"/>
  <c r="P31" i="1"/>
  <c r="H31" i="4"/>
  <c r="Q31" i="4"/>
  <c r="E31" i="4"/>
  <c r="G31" i="4"/>
  <c r="G31" i="9" s="1"/>
  <c r="K31" i="10"/>
  <c r="J30" i="11"/>
  <c r="T30" i="11" s="1"/>
  <c r="Q31" i="3"/>
  <c r="H32" i="5"/>
  <c r="Q32" i="5"/>
  <c r="E31" i="1"/>
  <c r="E32" i="5"/>
  <c r="G32" i="5"/>
  <c r="G32" i="18" s="1"/>
  <c r="G31" i="3"/>
  <c r="I31" i="10"/>
  <c r="H31" i="3"/>
  <c r="G31" i="1"/>
  <c r="J31" i="10"/>
  <c r="E31" i="3"/>
  <c r="V32" i="1"/>
  <c r="W32" i="1"/>
  <c r="J33" i="5"/>
  <c r="J33" i="18" s="1"/>
  <c r="I33" i="5"/>
  <c r="I33" i="18" s="1"/>
  <c r="L33" i="5"/>
  <c r="L33" i="18" s="1"/>
  <c r="K33" i="5"/>
  <c r="K33" i="18" s="1"/>
  <c r="T32" i="3"/>
  <c r="U32" i="3"/>
  <c r="S32" i="3"/>
  <c r="R32" i="3"/>
  <c r="K32" i="3"/>
  <c r="K32" i="7" s="1"/>
  <c r="J32" i="3"/>
  <c r="J32" i="7" s="1"/>
  <c r="I32" i="3"/>
  <c r="I32" i="7" s="1"/>
  <c r="L32" i="3"/>
  <c r="L32" i="7" s="1"/>
  <c r="U32" i="4"/>
  <c r="T32" i="9" s="1"/>
  <c r="R32" i="4"/>
  <c r="Q32" i="9" s="1"/>
  <c r="T32" i="4"/>
  <c r="S32" i="9" s="1"/>
  <c r="S32" i="4"/>
  <c r="R32" i="9" s="1"/>
  <c r="L32" i="4"/>
  <c r="L32" i="9" s="1"/>
  <c r="I32" i="4"/>
  <c r="I32" i="9" s="1"/>
  <c r="K32" i="4"/>
  <c r="K32" i="9" s="1"/>
  <c r="J32" i="4"/>
  <c r="J32" i="9" s="1"/>
  <c r="H32" i="1"/>
  <c r="K32" i="1"/>
  <c r="J32" i="1"/>
  <c r="I32" i="1"/>
  <c r="U33" i="5"/>
  <c r="T33" i="18" s="1"/>
  <c r="T33" i="5"/>
  <c r="S33" i="18" s="1"/>
  <c r="R33" i="5"/>
  <c r="Q33" i="18" s="1"/>
  <c r="S33" i="5"/>
  <c r="R33" i="18" s="1"/>
  <c r="T33" i="1"/>
  <c r="S33" i="6" s="1"/>
  <c r="S33" i="1"/>
  <c r="R33" i="6" s="1"/>
  <c r="R33" i="1"/>
  <c r="Q33" i="6" s="1"/>
  <c r="Q33" i="1"/>
  <c r="P33" i="6" s="1"/>
  <c r="R32" i="11"/>
  <c r="C32" i="9"/>
  <c r="C32" i="6"/>
  <c r="R31" i="11"/>
  <c r="C32" i="7"/>
  <c r="H32" i="7"/>
  <c r="D33" i="18"/>
  <c r="E33" i="18"/>
  <c r="H33" i="18"/>
  <c r="P32" i="9"/>
  <c r="D31" i="3"/>
  <c r="C31" i="4"/>
  <c r="D31" i="1"/>
  <c r="D32" i="5"/>
  <c r="C32" i="5"/>
  <c r="C32" i="18" s="1"/>
  <c r="C31" i="1"/>
  <c r="C31" i="3"/>
  <c r="D31" i="4"/>
  <c r="E33" i="6"/>
  <c r="W33" i="10"/>
  <c r="P33" i="18"/>
  <c r="V33" i="7"/>
  <c r="T33" i="7"/>
  <c r="S33" i="7"/>
  <c r="Q33" i="7"/>
  <c r="R33" i="7"/>
  <c r="H32" i="9"/>
  <c r="G32" i="7"/>
  <c r="D32" i="7"/>
  <c r="Q29" i="2"/>
  <c r="O28" i="2"/>
  <c r="P28" i="2"/>
  <c r="E33" i="9"/>
  <c r="Y33" i="10"/>
  <c r="E33" i="7"/>
  <c r="X33" i="10"/>
  <c r="D32" i="6"/>
  <c r="P32" i="10"/>
  <c r="D32" i="9"/>
  <c r="O32" i="6"/>
  <c r="P32" i="7"/>
  <c r="U33" i="6"/>
  <c r="G33" i="6"/>
  <c r="J33" i="6"/>
  <c r="K33" i="6"/>
  <c r="I33" i="6"/>
  <c r="H33" i="6"/>
  <c r="B31" i="10" l="1"/>
  <c r="P31" i="10" s="1"/>
  <c r="C31" i="10"/>
  <c r="Q31" i="10" s="1"/>
  <c r="W31" i="1"/>
  <c r="V31" i="1"/>
  <c r="P30" i="1"/>
  <c r="H30" i="4"/>
  <c r="Q30" i="4"/>
  <c r="G30" i="4"/>
  <c r="G30" i="9" s="1"/>
  <c r="E30" i="4"/>
  <c r="H31" i="5"/>
  <c r="Q31" i="5"/>
  <c r="K30" i="10"/>
  <c r="Q30" i="3"/>
  <c r="J29" i="11"/>
  <c r="T29" i="11" s="1"/>
  <c r="E31" i="5"/>
  <c r="G31" i="5"/>
  <c r="G31" i="18" s="1"/>
  <c r="E30" i="1"/>
  <c r="I30" i="10"/>
  <c r="H30" i="3"/>
  <c r="G30" i="3"/>
  <c r="E30" i="3"/>
  <c r="J30" i="10"/>
  <c r="G30" i="1"/>
  <c r="I31" i="1"/>
  <c r="K31" i="1"/>
  <c r="H31" i="1"/>
  <c r="J31" i="1"/>
  <c r="I31" i="3"/>
  <c r="I31" i="7" s="1"/>
  <c r="J31" i="3"/>
  <c r="J31" i="7" s="1"/>
  <c r="L31" i="3"/>
  <c r="L31" i="7" s="1"/>
  <c r="K31" i="3"/>
  <c r="K31" i="7" s="1"/>
  <c r="J31" i="4"/>
  <c r="J31" i="9" s="1"/>
  <c r="K31" i="4"/>
  <c r="K31" i="9" s="1"/>
  <c r="I31" i="4"/>
  <c r="I31" i="9" s="1"/>
  <c r="L31" i="4"/>
  <c r="L31" i="9" s="1"/>
  <c r="J32" i="5"/>
  <c r="J32" i="18" s="1"/>
  <c r="I32" i="5"/>
  <c r="I32" i="18" s="1"/>
  <c r="L32" i="5"/>
  <c r="L32" i="18" s="1"/>
  <c r="K32" i="5"/>
  <c r="K32" i="18" s="1"/>
  <c r="T31" i="4"/>
  <c r="S31" i="9" s="1"/>
  <c r="R31" i="4"/>
  <c r="Q31" i="9" s="1"/>
  <c r="S31" i="4"/>
  <c r="R31" i="9" s="1"/>
  <c r="U31" i="4"/>
  <c r="T31" i="9" s="1"/>
  <c r="S31" i="3"/>
  <c r="U31" i="3"/>
  <c r="T31" i="3"/>
  <c r="R31" i="3"/>
  <c r="R32" i="5"/>
  <c r="Q32" i="18" s="1"/>
  <c r="S32" i="5"/>
  <c r="R32" i="18" s="1"/>
  <c r="T32" i="5"/>
  <c r="S32" i="18" s="1"/>
  <c r="U32" i="5"/>
  <c r="T32" i="18" s="1"/>
  <c r="T32" i="1"/>
  <c r="S32" i="6" s="1"/>
  <c r="S32" i="1"/>
  <c r="R32" i="6" s="1"/>
  <c r="Q32" i="1"/>
  <c r="P32" i="6" s="1"/>
  <c r="R32" i="1"/>
  <c r="Q32" i="6" s="1"/>
  <c r="L31" i="11"/>
  <c r="C31" i="9"/>
  <c r="C31" i="6"/>
  <c r="C31" i="7"/>
  <c r="O31" i="6"/>
  <c r="U32" i="6"/>
  <c r="G32" i="6"/>
  <c r="J32" i="6"/>
  <c r="I32" i="6"/>
  <c r="H32" i="6"/>
  <c r="K32" i="6"/>
  <c r="E32" i="7"/>
  <c r="X32" i="10"/>
  <c r="P31" i="7"/>
  <c r="D31" i="6"/>
  <c r="P31" i="9"/>
  <c r="E32" i="6"/>
  <c r="W32" i="10"/>
  <c r="C30" i="4"/>
  <c r="C30" i="1"/>
  <c r="D30" i="1"/>
  <c r="D30" i="3"/>
  <c r="C31" i="5"/>
  <c r="C31" i="18" s="1"/>
  <c r="D31" i="5"/>
  <c r="D30" i="4"/>
  <c r="C30" i="3"/>
  <c r="P32" i="18"/>
  <c r="H31" i="7"/>
  <c r="H32" i="18"/>
  <c r="H31" i="9"/>
  <c r="V32" i="7"/>
  <c r="S32" i="7"/>
  <c r="R32" i="7"/>
  <c r="T32" i="7"/>
  <c r="Q32" i="7"/>
  <c r="E32" i="9"/>
  <c r="Y32" i="10"/>
  <c r="P27" i="2"/>
  <c r="O27" i="2"/>
  <c r="Q28" i="2"/>
  <c r="D31" i="9"/>
  <c r="D32" i="18"/>
  <c r="E32" i="18"/>
  <c r="G31" i="7"/>
  <c r="D31" i="7"/>
  <c r="T32" i="10" l="1"/>
  <c r="U32" i="10"/>
  <c r="B30" i="10"/>
  <c r="C30" i="10"/>
  <c r="Q30" i="10" s="1"/>
  <c r="P29" i="1"/>
  <c r="H29" i="4"/>
  <c r="Q29" i="4"/>
  <c r="E29" i="4"/>
  <c r="G29" i="4"/>
  <c r="G29" i="9" s="1"/>
  <c r="Q29" i="3"/>
  <c r="J28" i="11"/>
  <c r="T28" i="11" s="1"/>
  <c r="K29" i="10"/>
  <c r="Q30" i="5"/>
  <c r="H30" i="5"/>
  <c r="E30" i="5"/>
  <c r="E29" i="1"/>
  <c r="G30" i="5"/>
  <c r="G30" i="18" s="1"/>
  <c r="H29" i="3"/>
  <c r="G29" i="3"/>
  <c r="I29" i="10"/>
  <c r="J29" i="10"/>
  <c r="G29" i="1"/>
  <c r="E29" i="3"/>
  <c r="W30" i="1"/>
  <c r="V30" i="1"/>
  <c r="J30" i="3"/>
  <c r="J30" i="7" s="1"/>
  <c r="I30" i="3"/>
  <c r="I30" i="7" s="1"/>
  <c r="L30" i="3"/>
  <c r="L30" i="7" s="1"/>
  <c r="K30" i="3"/>
  <c r="K30" i="7" s="1"/>
  <c r="I30" i="1"/>
  <c r="K30" i="1"/>
  <c r="H30" i="1"/>
  <c r="J30" i="1"/>
  <c r="J31" i="5"/>
  <c r="J31" i="18" s="1"/>
  <c r="K31" i="5"/>
  <c r="K31" i="18" s="1"/>
  <c r="I31" i="5"/>
  <c r="I31" i="18" s="1"/>
  <c r="L31" i="5"/>
  <c r="L31" i="18" s="1"/>
  <c r="J30" i="4"/>
  <c r="J30" i="9" s="1"/>
  <c r="I30" i="4"/>
  <c r="I30" i="9" s="1"/>
  <c r="K30" i="4"/>
  <c r="K30" i="9" s="1"/>
  <c r="L30" i="4"/>
  <c r="L30" i="9" s="1"/>
  <c r="T30" i="3"/>
  <c r="S30" i="3"/>
  <c r="R30" i="3"/>
  <c r="U30" i="3"/>
  <c r="T31" i="5"/>
  <c r="S31" i="18" s="1"/>
  <c r="R31" i="5"/>
  <c r="Q31" i="18" s="1"/>
  <c r="U31" i="5"/>
  <c r="T31" i="18" s="1"/>
  <c r="S31" i="5"/>
  <c r="R31" i="18" s="1"/>
  <c r="U30" i="4"/>
  <c r="T30" i="9" s="1"/>
  <c r="S30" i="4"/>
  <c r="R30" i="9" s="1"/>
  <c r="T30" i="4"/>
  <c r="S30" i="9" s="1"/>
  <c r="R30" i="4"/>
  <c r="Q30" i="9" s="1"/>
  <c r="R31" i="1"/>
  <c r="Q31" i="6" s="1"/>
  <c r="T31" i="1"/>
  <c r="S31" i="6" s="1"/>
  <c r="S31" i="1"/>
  <c r="R31" i="6" s="1"/>
  <c r="Q31" i="1"/>
  <c r="P31" i="6" s="1"/>
  <c r="L30" i="11"/>
  <c r="R30" i="11"/>
  <c r="C30" i="9"/>
  <c r="C30" i="7"/>
  <c r="C30" i="6"/>
  <c r="R29" i="11"/>
  <c r="E31" i="9"/>
  <c r="Y31" i="10"/>
  <c r="O30" i="6"/>
  <c r="H31" i="18"/>
  <c r="O26" i="2"/>
  <c r="P26" i="2"/>
  <c r="Q27" i="2"/>
  <c r="H30" i="7"/>
  <c r="E31" i="18"/>
  <c r="D31" i="18"/>
  <c r="E31" i="6"/>
  <c r="W31" i="10"/>
  <c r="C30" i="5"/>
  <c r="C30" i="18" s="1"/>
  <c r="D29" i="4"/>
  <c r="C29" i="4"/>
  <c r="C29" i="1"/>
  <c r="D29" i="3"/>
  <c r="D30" i="5"/>
  <c r="D29" i="1"/>
  <c r="C29" i="3"/>
  <c r="P31" i="18"/>
  <c r="D30" i="9"/>
  <c r="D30" i="6"/>
  <c r="P30" i="10"/>
  <c r="E31" i="7"/>
  <c r="X31" i="10"/>
  <c r="P30" i="9"/>
  <c r="H30" i="9"/>
  <c r="G30" i="7"/>
  <c r="D30" i="7"/>
  <c r="P30" i="7"/>
  <c r="G31" i="6"/>
  <c r="K31" i="6"/>
  <c r="J31" i="6"/>
  <c r="I31" i="6"/>
  <c r="H31" i="6"/>
  <c r="V31" i="7"/>
  <c r="T31" i="7"/>
  <c r="R31" i="7"/>
  <c r="S31" i="7"/>
  <c r="Q31" i="7"/>
  <c r="U31" i="6"/>
  <c r="U31" i="10" l="1"/>
  <c r="T31" i="10"/>
  <c r="B29" i="10"/>
  <c r="C29" i="10"/>
  <c r="Q29" i="10" s="1"/>
  <c r="P28" i="1"/>
  <c r="H28" i="4"/>
  <c r="J28" i="4" s="1"/>
  <c r="Q28" i="4"/>
  <c r="E28" i="4"/>
  <c r="G28" i="4"/>
  <c r="G28" i="9" s="1"/>
  <c r="K28" i="10"/>
  <c r="H29" i="5"/>
  <c r="J27" i="11"/>
  <c r="T27" i="11" s="1"/>
  <c r="Q29" i="5"/>
  <c r="Q28" i="3"/>
  <c r="E29" i="5"/>
  <c r="H28" i="3"/>
  <c r="E28" i="1"/>
  <c r="G29" i="5"/>
  <c r="G29" i="18" s="1"/>
  <c r="G28" i="3"/>
  <c r="I28" i="10"/>
  <c r="G28" i="1"/>
  <c r="J28" i="10"/>
  <c r="E28" i="3"/>
  <c r="W29" i="1"/>
  <c r="V29" i="1"/>
  <c r="K29" i="1"/>
  <c r="H29" i="1"/>
  <c r="J29" i="1"/>
  <c r="I29" i="1"/>
  <c r="J29" i="4"/>
  <c r="J29" i="9" s="1"/>
  <c r="I29" i="4"/>
  <c r="I29" i="9" s="1"/>
  <c r="K29" i="4"/>
  <c r="K29" i="9" s="1"/>
  <c r="L29" i="4"/>
  <c r="L29" i="9" s="1"/>
  <c r="R30" i="5"/>
  <c r="Q30" i="18" s="1"/>
  <c r="U30" i="5"/>
  <c r="T30" i="18" s="1"/>
  <c r="T30" i="5"/>
  <c r="S30" i="18" s="1"/>
  <c r="S30" i="5"/>
  <c r="R30" i="18" s="1"/>
  <c r="U29" i="3"/>
  <c r="T29" i="3"/>
  <c r="R29" i="3"/>
  <c r="S29" i="3"/>
  <c r="J30" i="5"/>
  <c r="J30" i="18" s="1"/>
  <c r="K30" i="5"/>
  <c r="K30" i="18" s="1"/>
  <c r="I30" i="5"/>
  <c r="I30" i="18" s="1"/>
  <c r="L30" i="5"/>
  <c r="L30" i="18" s="1"/>
  <c r="U29" i="4"/>
  <c r="T29" i="9" s="1"/>
  <c r="T29" i="4"/>
  <c r="S29" i="9" s="1"/>
  <c r="S29" i="4"/>
  <c r="R29" i="9" s="1"/>
  <c r="R29" i="4"/>
  <c r="Q29" i="9" s="1"/>
  <c r="I29" i="3"/>
  <c r="I29" i="7" s="1"/>
  <c r="J29" i="3"/>
  <c r="J29" i="7" s="1"/>
  <c r="L29" i="3"/>
  <c r="L29" i="7" s="1"/>
  <c r="K29" i="3"/>
  <c r="K29" i="7" s="1"/>
  <c r="S30" i="1"/>
  <c r="R30" i="6" s="1"/>
  <c r="Q30" i="1"/>
  <c r="P30" i="6" s="1"/>
  <c r="T30" i="1"/>
  <c r="S30" i="6" s="1"/>
  <c r="R30" i="1"/>
  <c r="Q30" i="6" s="1"/>
  <c r="L29" i="11"/>
  <c r="C29" i="7"/>
  <c r="C29" i="9"/>
  <c r="C29" i="6"/>
  <c r="R28" i="11"/>
  <c r="D29" i="9"/>
  <c r="O29" i="6"/>
  <c r="C29" i="5"/>
  <c r="C29" i="18" s="1"/>
  <c r="D28" i="1"/>
  <c r="D29" i="5"/>
  <c r="C28" i="4"/>
  <c r="C28" i="3"/>
  <c r="D28" i="3"/>
  <c r="D28" i="4"/>
  <c r="C28" i="1"/>
  <c r="U30" i="6"/>
  <c r="E30" i="6"/>
  <c r="W30" i="10"/>
  <c r="E30" i="9"/>
  <c r="Y30" i="10"/>
  <c r="P29" i="7"/>
  <c r="H30" i="18"/>
  <c r="V30" i="7"/>
  <c r="S30" i="7"/>
  <c r="R30" i="7"/>
  <c r="Q30" i="7"/>
  <c r="T30" i="7"/>
  <c r="G30" i="6"/>
  <c r="J30" i="6"/>
  <c r="I30" i="6"/>
  <c r="H30" i="6"/>
  <c r="K30" i="6"/>
  <c r="D29" i="6"/>
  <c r="P29" i="10"/>
  <c r="D29" i="7"/>
  <c r="G29" i="7"/>
  <c r="H29" i="7"/>
  <c r="P25" i="2"/>
  <c r="O25" i="2"/>
  <c r="Q26" i="2"/>
  <c r="E30" i="7"/>
  <c r="X30" i="10"/>
  <c r="P30" i="18"/>
  <c r="D30" i="18"/>
  <c r="E30" i="18"/>
  <c r="H29" i="9"/>
  <c r="P29" i="9"/>
  <c r="T30" i="10" l="1"/>
  <c r="U30" i="10"/>
  <c r="B28" i="10"/>
  <c r="C28" i="10"/>
  <c r="Q28" i="10" s="1"/>
  <c r="W28" i="1"/>
  <c r="V28" i="1"/>
  <c r="P27" i="1"/>
  <c r="H27" i="4"/>
  <c r="Q27" i="4"/>
  <c r="G27" i="4"/>
  <c r="G27" i="9" s="1"/>
  <c r="E27" i="4"/>
  <c r="Q27" i="3"/>
  <c r="H28" i="5"/>
  <c r="K27" i="10"/>
  <c r="J26" i="11"/>
  <c r="T26" i="11" s="1"/>
  <c r="Q28" i="5"/>
  <c r="G28" i="5"/>
  <c r="G28" i="18" s="1"/>
  <c r="H27" i="3"/>
  <c r="E27" i="1"/>
  <c r="I27" i="10"/>
  <c r="E28" i="5"/>
  <c r="E27" i="3"/>
  <c r="G27" i="1"/>
  <c r="J27" i="10"/>
  <c r="G27" i="3"/>
  <c r="K28" i="3"/>
  <c r="K28" i="7" s="1"/>
  <c r="J28" i="3"/>
  <c r="J28" i="7" s="1"/>
  <c r="L28" i="3"/>
  <c r="L28" i="7" s="1"/>
  <c r="I28" i="3"/>
  <c r="I28" i="7" s="1"/>
  <c r="R28" i="4"/>
  <c r="Q28" i="9" s="1"/>
  <c r="U28" i="4"/>
  <c r="T28" i="9" s="1"/>
  <c r="S28" i="4"/>
  <c r="R28" i="9" s="1"/>
  <c r="T28" i="4"/>
  <c r="S28" i="9" s="1"/>
  <c r="J28" i="9"/>
  <c r="I28" i="4"/>
  <c r="I28" i="9" s="1"/>
  <c r="K28" i="4"/>
  <c r="K28" i="9" s="1"/>
  <c r="L28" i="4"/>
  <c r="L28" i="9" s="1"/>
  <c r="J29" i="5"/>
  <c r="J29" i="18" s="1"/>
  <c r="K29" i="5"/>
  <c r="K29" i="18" s="1"/>
  <c r="I29" i="5"/>
  <c r="I29" i="18" s="1"/>
  <c r="L29" i="5"/>
  <c r="L29" i="18" s="1"/>
  <c r="R29" i="5"/>
  <c r="Q29" i="18" s="1"/>
  <c r="T29" i="5"/>
  <c r="S29" i="18" s="1"/>
  <c r="S29" i="5"/>
  <c r="R29" i="18" s="1"/>
  <c r="U29" i="5"/>
  <c r="T29" i="18" s="1"/>
  <c r="U28" i="3"/>
  <c r="T28" i="3"/>
  <c r="S28" i="3"/>
  <c r="R28" i="3"/>
  <c r="I28" i="1"/>
  <c r="H28" i="1"/>
  <c r="K28" i="1"/>
  <c r="J28" i="1"/>
  <c r="L28" i="11"/>
  <c r="S29" i="1"/>
  <c r="R29" i="6" s="1"/>
  <c r="Q29" i="1"/>
  <c r="P29" i="6" s="1"/>
  <c r="R29" i="1"/>
  <c r="Q29" i="6" s="1"/>
  <c r="T29" i="1"/>
  <c r="S29" i="6" s="1"/>
  <c r="C28" i="6"/>
  <c r="L27" i="11"/>
  <c r="C28" i="9"/>
  <c r="C28" i="7"/>
  <c r="G28" i="7"/>
  <c r="D28" i="7"/>
  <c r="D29" i="18"/>
  <c r="E29" i="18"/>
  <c r="E29" i="7"/>
  <c r="X29" i="10"/>
  <c r="G29" i="6"/>
  <c r="J29" i="6"/>
  <c r="H29" i="6"/>
  <c r="I29" i="6"/>
  <c r="K29" i="6"/>
  <c r="D28" i="9"/>
  <c r="P28" i="9"/>
  <c r="O24" i="2"/>
  <c r="P24" i="2"/>
  <c r="Q25" i="2"/>
  <c r="O28" i="6"/>
  <c r="H29" i="18"/>
  <c r="H28" i="7"/>
  <c r="H28" i="9"/>
  <c r="D28" i="6"/>
  <c r="P28" i="10"/>
  <c r="U29" i="6"/>
  <c r="D27" i="1"/>
  <c r="C27" i="1"/>
  <c r="D27" i="4"/>
  <c r="D27" i="3"/>
  <c r="D28" i="5"/>
  <c r="C27" i="3"/>
  <c r="C28" i="5"/>
  <c r="C28" i="18" s="1"/>
  <c r="C27" i="4"/>
  <c r="E29" i="6"/>
  <c r="W29" i="10"/>
  <c r="V29" i="7"/>
  <c r="T29" i="7"/>
  <c r="S29" i="7"/>
  <c r="Q29" i="7"/>
  <c r="R29" i="7"/>
  <c r="P28" i="7"/>
  <c r="P29" i="18"/>
  <c r="E29" i="9"/>
  <c r="Y29" i="10"/>
  <c r="T28" i="10" l="1"/>
  <c r="U28" i="10"/>
  <c r="U29" i="10"/>
  <c r="T29" i="10"/>
  <c r="B27" i="10"/>
  <c r="P27" i="10" s="1"/>
  <c r="C27" i="10"/>
  <c r="Q27" i="10" s="1"/>
  <c r="W27" i="1"/>
  <c r="V27" i="1"/>
  <c r="P26" i="1"/>
  <c r="H26" i="4"/>
  <c r="Q26" i="4"/>
  <c r="E26" i="4"/>
  <c r="G26" i="4"/>
  <c r="G26" i="9" s="1"/>
  <c r="Q27" i="5"/>
  <c r="K26" i="10"/>
  <c r="Q26" i="3"/>
  <c r="H27" i="5"/>
  <c r="J25" i="11"/>
  <c r="T25" i="11" s="1"/>
  <c r="E27" i="5"/>
  <c r="G27" i="5"/>
  <c r="G27" i="18" s="1"/>
  <c r="E26" i="1"/>
  <c r="H26" i="3"/>
  <c r="G26" i="3"/>
  <c r="E26" i="3"/>
  <c r="J26" i="10"/>
  <c r="G26" i="1"/>
  <c r="I26" i="10"/>
  <c r="I27" i="1"/>
  <c r="K27" i="1"/>
  <c r="H27" i="1"/>
  <c r="J27" i="1"/>
  <c r="T28" i="5"/>
  <c r="S28" i="18" s="1"/>
  <c r="U28" i="5"/>
  <c r="T28" i="18" s="1"/>
  <c r="R28" i="5"/>
  <c r="Q28" i="18" s="1"/>
  <c r="S28" i="5"/>
  <c r="R28" i="18" s="1"/>
  <c r="J27" i="3"/>
  <c r="J27" i="7" s="1"/>
  <c r="I27" i="3"/>
  <c r="I27" i="7" s="1"/>
  <c r="L27" i="3"/>
  <c r="L27" i="7" s="1"/>
  <c r="K27" i="3"/>
  <c r="K27" i="7" s="1"/>
  <c r="R27" i="3"/>
  <c r="U27" i="3"/>
  <c r="T27" i="3"/>
  <c r="S27" i="3"/>
  <c r="L27" i="4"/>
  <c r="L27" i="9" s="1"/>
  <c r="I27" i="4"/>
  <c r="I27" i="9" s="1"/>
  <c r="K27" i="4"/>
  <c r="K27" i="9" s="1"/>
  <c r="J27" i="4"/>
  <c r="J27" i="9" s="1"/>
  <c r="J28" i="5"/>
  <c r="J28" i="18" s="1"/>
  <c r="I28" i="5"/>
  <c r="I28" i="18" s="1"/>
  <c r="L28" i="5"/>
  <c r="L28" i="18" s="1"/>
  <c r="K28" i="5"/>
  <c r="K28" i="18" s="1"/>
  <c r="U27" i="4"/>
  <c r="T27" i="9" s="1"/>
  <c r="T27" i="4"/>
  <c r="S27" i="9" s="1"/>
  <c r="S27" i="4"/>
  <c r="R27" i="9" s="1"/>
  <c r="R27" i="4"/>
  <c r="Q27" i="9" s="1"/>
  <c r="R27" i="11"/>
  <c r="S28" i="1"/>
  <c r="R28" i="6" s="1"/>
  <c r="Q28" i="1"/>
  <c r="P28" i="6" s="1"/>
  <c r="T28" i="1"/>
  <c r="S28" i="6" s="1"/>
  <c r="R28" i="1"/>
  <c r="Q28" i="6" s="1"/>
  <c r="C27" i="9"/>
  <c r="C27" i="7"/>
  <c r="C27" i="6"/>
  <c r="R26" i="11"/>
  <c r="H27" i="7"/>
  <c r="G27" i="7"/>
  <c r="D27" i="7"/>
  <c r="P27" i="7"/>
  <c r="D28" i="18"/>
  <c r="E28" i="18"/>
  <c r="P28" i="18"/>
  <c r="D27" i="6"/>
  <c r="G28" i="6"/>
  <c r="J28" i="6"/>
  <c r="H28" i="6"/>
  <c r="I28" i="6"/>
  <c r="K28" i="6"/>
  <c r="D26" i="4"/>
  <c r="C26" i="3"/>
  <c r="C26" i="1"/>
  <c r="C26" i="4"/>
  <c r="C27" i="5"/>
  <c r="C27" i="18" s="1"/>
  <c r="D26" i="3"/>
  <c r="D26" i="1"/>
  <c r="D27" i="5"/>
  <c r="E28" i="9"/>
  <c r="Y28" i="10"/>
  <c r="V28" i="7"/>
  <c r="R28" i="7"/>
  <c r="Q28" i="7"/>
  <c r="S28" i="7"/>
  <c r="T28" i="7"/>
  <c r="P27" i="9"/>
  <c r="H28" i="18"/>
  <c r="D27" i="9"/>
  <c r="O27" i="6"/>
  <c r="E28" i="6"/>
  <c r="W28" i="10"/>
  <c r="E28" i="7"/>
  <c r="X28" i="10"/>
  <c r="H27" i="9"/>
  <c r="U28" i="6"/>
  <c r="O23" i="2"/>
  <c r="Q24" i="2"/>
  <c r="P23" i="2"/>
  <c r="B26" i="10" l="1"/>
  <c r="P26" i="10" s="1"/>
  <c r="C26" i="10"/>
  <c r="Q26" i="10" s="1"/>
  <c r="W26" i="1"/>
  <c r="V26" i="1"/>
  <c r="P25" i="1"/>
  <c r="H25" i="4"/>
  <c r="Q25" i="4"/>
  <c r="E25" i="4"/>
  <c r="G25" i="4"/>
  <c r="G25" i="9" s="1"/>
  <c r="K25" i="10"/>
  <c r="H26" i="5"/>
  <c r="J24" i="11"/>
  <c r="T24" i="11" s="1"/>
  <c r="Q26" i="5"/>
  <c r="Q25" i="3"/>
  <c r="G26" i="5"/>
  <c r="G26" i="18" s="1"/>
  <c r="E25" i="1"/>
  <c r="E26" i="5"/>
  <c r="H25" i="3"/>
  <c r="G25" i="3"/>
  <c r="I25" i="10"/>
  <c r="G25" i="1"/>
  <c r="E25" i="3"/>
  <c r="J25" i="10"/>
  <c r="I26" i="3"/>
  <c r="I26" i="7" s="1"/>
  <c r="J26" i="3"/>
  <c r="J26" i="7" s="1"/>
  <c r="L26" i="3"/>
  <c r="L26" i="7" s="1"/>
  <c r="K26" i="3"/>
  <c r="K26" i="7" s="1"/>
  <c r="I26" i="4"/>
  <c r="I26" i="9" s="1"/>
  <c r="J26" i="4"/>
  <c r="J26" i="9" s="1"/>
  <c r="L26" i="4"/>
  <c r="L26" i="9" s="1"/>
  <c r="K26" i="4"/>
  <c r="K26" i="9" s="1"/>
  <c r="S26" i="3"/>
  <c r="R26" i="3"/>
  <c r="U26" i="3"/>
  <c r="T26" i="3"/>
  <c r="I26" i="1"/>
  <c r="H26" i="1"/>
  <c r="K26" i="1"/>
  <c r="J26" i="1"/>
  <c r="R26" i="4"/>
  <c r="Q26" i="9" s="1"/>
  <c r="S26" i="4"/>
  <c r="R26" i="9" s="1"/>
  <c r="T26" i="4"/>
  <c r="S26" i="9" s="1"/>
  <c r="U26" i="4"/>
  <c r="T26" i="9" s="1"/>
  <c r="J27" i="5"/>
  <c r="J27" i="18" s="1"/>
  <c r="I27" i="5"/>
  <c r="I27" i="18" s="1"/>
  <c r="L27" i="5"/>
  <c r="L27" i="18" s="1"/>
  <c r="K27" i="5"/>
  <c r="K27" i="18" s="1"/>
  <c r="R27" i="5"/>
  <c r="Q27" i="18" s="1"/>
  <c r="T27" i="5"/>
  <c r="S27" i="18" s="1"/>
  <c r="U27" i="5"/>
  <c r="T27" i="18" s="1"/>
  <c r="S27" i="5"/>
  <c r="R27" i="18" s="1"/>
  <c r="S27" i="1"/>
  <c r="R27" i="6" s="1"/>
  <c r="T27" i="1"/>
  <c r="S27" i="6" s="1"/>
  <c r="R27" i="1"/>
  <c r="Q27" i="6" s="1"/>
  <c r="Q27" i="1"/>
  <c r="P27" i="6" s="1"/>
  <c r="L26" i="11"/>
  <c r="C26" i="9"/>
  <c r="C26" i="7"/>
  <c r="C26" i="6"/>
  <c r="R25" i="11"/>
  <c r="C26" i="5"/>
  <c r="C26" i="18" s="1"/>
  <c r="C25" i="4"/>
  <c r="C25" i="1"/>
  <c r="D25" i="4"/>
  <c r="D25" i="1"/>
  <c r="C25" i="3"/>
  <c r="D25" i="3"/>
  <c r="D26" i="5"/>
  <c r="U27" i="6"/>
  <c r="G26" i="7"/>
  <c r="D26" i="7"/>
  <c r="D26" i="9"/>
  <c r="G27" i="6"/>
  <c r="J27" i="6"/>
  <c r="K27" i="6"/>
  <c r="I27" i="6"/>
  <c r="H27" i="6"/>
  <c r="P27" i="18"/>
  <c r="P26" i="9"/>
  <c r="H26" i="9"/>
  <c r="E27" i="6"/>
  <c r="W27" i="10"/>
  <c r="E27" i="9"/>
  <c r="Y27" i="10"/>
  <c r="P26" i="7"/>
  <c r="D26" i="6"/>
  <c r="O26" i="6"/>
  <c r="P22" i="2"/>
  <c r="Q23" i="2"/>
  <c r="O22" i="2"/>
  <c r="E27" i="18"/>
  <c r="D27" i="18"/>
  <c r="H26" i="7"/>
  <c r="H27" i="18"/>
  <c r="V27" i="7"/>
  <c r="Q27" i="7"/>
  <c r="T27" i="7"/>
  <c r="R27" i="7"/>
  <c r="S27" i="7"/>
  <c r="E27" i="7"/>
  <c r="X27" i="10"/>
  <c r="U27" i="10" l="1"/>
  <c r="T27" i="10"/>
  <c r="B25" i="10"/>
  <c r="P25" i="10" s="1"/>
  <c r="C25" i="10"/>
  <c r="Q25" i="10" s="1"/>
  <c r="P24" i="1"/>
  <c r="H24" i="4"/>
  <c r="Q24" i="4"/>
  <c r="E24" i="4"/>
  <c r="G24" i="4"/>
  <c r="G24" i="9" s="1"/>
  <c r="Q24" i="3"/>
  <c r="Q25" i="5"/>
  <c r="K24" i="10"/>
  <c r="H25" i="5"/>
  <c r="J23" i="11"/>
  <c r="T23" i="11" s="1"/>
  <c r="E24" i="1"/>
  <c r="E25" i="5"/>
  <c r="G25" i="5"/>
  <c r="G25" i="18" s="1"/>
  <c r="H24" i="3"/>
  <c r="G24" i="3"/>
  <c r="I24" i="10"/>
  <c r="G24" i="1"/>
  <c r="E24" i="3"/>
  <c r="J24" i="10"/>
  <c r="V25" i="1"/>
  <c r="W25" i="1"/>
  <c r="J26" i="5"/>
  <c r="J26" i="18" s="1"/>
  <c r="K26" i="5"/>
  <c r="K26" i="18" s="1"/>
  <c r="I26" i="5"/>
  <c r="I26" i="18" s="1"/>
  <c r="L26" i="5"/>
  <c r="L26" i="18" s="1"/>
  <c r="T25" i="3"/>
  <c r="R25" i="3"/>
  <c r="U25" i="3"/>
  <c r="S25" i="3"/>
  <c r="T25" i="4"/>
  <c r="S25" i="9" s="1"/>
  <c r="S25" i="4"/>
  <c r="R25" i="9" s="1"/>
  <c r="R25" i="4"/>
  <c r="Q25" i="9" s="1"/>
  <c r="U25" i="4"/>
  <c r="T25" i="9" s="1"/>
  <c r="J25" i="4"/>
  <c r="J25" i="9" s="1"/>
  <c r="I25" i="4"/>
  <c r="I25" i="9" s="1"/>
  <c r="K25" i="4"/>
  <c r="K25" i="9" s="1"/>
  <c r="L25" i="4"/>
  <c r="L25" i="9" s="1"/>
  <c r="U26" i="5"/>
  <c r="T26" i="18" s="1"/>
  <c r="R26" i="5"/>
  <c r="Q26" i="18" s="1"/>
  <c r="S26" i="5"/>
  <c r="R26" i="18" s="1"/>
  <c r="T26" i="5"/>
  <c r="S26" i="18" s="1"/>
  <c r="K25" i="3"/>
  <c r="K25" i="7" s="1"/>
  <c r="J25" i="3"/>
  <c r="J25" i="7" s="1"/>
  <c r="I25" i="3"/>
  <c r="I25" i="7" s="1"/>
  <c r="L25" i="3"/>
  <c r="L25" i="7" s="1"/>
  <c r="I25" i="1"/>
  <c r="K25" i="1"/>
  <c r="H25" i="1"/>
  <c r="J25" i="1"/>
  <c r="T26" i="1"/>
  <c r="S26" i="6" s="1"/>
  <c r="Q26" i="1"/>
  <c r="P26" i="6" s="1"/>
  <c r="R26" i="1"/>
  <c r="Q26" i="6" s="1"/>
  <c r="S26" i="1"/>
  <c r="R26" i="6" s="1"/>
  <c r="L25" i="11"/>
  <c r="C25" i="9"/>
  <c r="C25" i="6"/>
  <c r="R24" i="11"/>
  <c r="C25" i="7"/>
  <c r="H26" i="18"/>
  <c r="D25" i="6"/>
  <c r="H25" i="9"/>
  <c r="E26" i="6"/>
  <c r="W26" i="10"/>
  <c r="E26" i="7"/>
  <c r="X26" i="10"/>
  <c r="H25" i="7"/>
  <c r="P26" i="18"/>
  <c r="P25" i="9"/>
  <c r="D25" i="9"/>
  <c r="C24" i="4"/>
  <c r="C24" i="1"/>
  <c r="D24" i="3"/>
  <c r="D25" i="5"/>
  <c r="C25" i="5"/>
  <c r="C25" i="18" s="1"/>
  <c r="D24" i="4"/>
  <c r="C24" i="3"/>
  <c r="D24" i="1"/>
  <c r="U26" i="6"/>
  <c r="G26" i="6"/>
  <c r="H26" i="6"/>
  <c r="K26" i="6"/>
  <c r="J26" i="6"/>
  <c r="I26" i="6"/>
  <c r="D25" i="7"/>
  <c r="G25" i="7"/>
  <c r="P25" i="7"/>
  <c r="P21" i="2"/>
  <c r="O21" i="2"/>
  <c r="Q22" i="2"/>
  <c r="V26" i="7"/>
  <c r="R26" i="7"/>
  <c r="T26" i="7"/>
  <c r="Q26" i="7"/>
  <c r="S26" i="7"/>
  <c r="E26" i="9"/>
  <c r="Y26" i="10"/>
  <c r="D26" i="18"/>
  <c r="E26" i="18"/>
  <c r="O25" i="6"/>
  <c r="T26" i="10" l="1"/>
  <c r="U26" i="10"/>
  <c r="B24" i="10"/>
  <c r="P24" i="10" s="1"/>
  <c r="C24" i="10"/>
  <c r="Q24" i="10" s="1"/>
  <c r="P23" i="1"/>
  <c r="H23" i="4"/>
  <c r="Q23" i="4"/>
  <c r="E23" i="4"/>
  <c r="G23" i="4"/>
  <c r="G23" i="9" s="1"/>
  <c r="Q23" i="3"/>
  <c r="Q24" i="5"/>
  <c r="K23" i="10"/>
  <c r="H24" i="5"/>
  <c r="J22" i="11"/>
  <c r="T22" i="11" s="1"/>
  <c r="G24" i="5"/>
  <c r="G24" i="18" s="1"/>
  <c r="H23" i="3"/>
  <c r="E23" i="1"/>
  <c r="I23" i="10"/>
  <c r="E24" i="5"/>
  <c r="G23" i="3"/>
  <c r="G23" i="1"/>
  <c r="E23" i="3"/>
  <c r="J23" i="10"/>
  <c r="V24" i="1"/>
  <c r="W24" i="1"/>
  <c r="J24" i="3"/>
  <c r="J24" i="7" s="1"/>
  <c r="I24" i="3"/>
  <c r="I24" i="7" s="1"/>
  <c r="L24" i="3"/>
  <c r="L24" i="7" s="1"/>
  <c r="K24" i="3"/>
  <c r="K24" i="7" s="1"/>
  <c r="T24" i="4"/>
  <c r="S24" i="9" s="1"/>
  <c r="U24" i="4"/>
  <c r="T24" i="9" s="1"/>
  <c r="R24" i="4"/>
  <c r="Q24" i="9" s="1"/>
  <c r="S24" i="4"/>
  <c r="R24" i="9" s="1"/>
  <c r="I24" i="1"/>
  <c r="K24" i="1"/>
  <c r="H24" i="1"/>
  <c r="J24" i="1"/>
  <c r="J25" i="5"/>
  <c r="J25" i="18" s="1"/>
  <c r="I25" i="5"/>
  <c r="I25" i="18" s="1"/>
  <c r="L25" i="5"/>
  <c r="L25" i="18" s="1"/>
  <c r="K25" i="5"/>
  <c r="K25" i="18" s="1"/>
  <c r="U24" i="3"/>
  <c r="S24" i="3"/>
  <c r="T24" i="3"/>
  <c r="R24" i="3"/>
  <c r="J24" i="4"/>
  <c r="J24" i="9" s="1"/>
  <c r="L24" i="4"/>
  <c r="L24" i="9" s="1"/>
  <c r="I24" i="4"/>
  <c r="I24" i="9" s="1"/>
  <c r="K24" i="4"/>
  <c r="K24" i="9" s="1"/>
  <c r="U25" i="5"/>
  <c r="T25" i="18" s="1"/>
  <c r="T25" i="5"/>
  <c r="S25" i="18" s="1"/>
  <c r="R25" i="5"/>
  <c r="Q25" i="18" s="1"/>
  <c r="S25" i="5"/>
  <c r="R25" i="18" s="1"/>
  <c r="S25" i="1"/>
  <c r="R25" i="6" s="1"/>
  <c r="R25" i="1"/>
  <c r="Q25" i="6" s="1"/>
  <c r="Q25" i="1"/>
  <c r="P25" i="6" s="1"/>
  <c r="T25" i="1"/>
  <c r="S25" i="6" s="1"/>
  <c r="L24" i="11"/>
  <c r="C24" i="9"/>
  <c r="C24" i="6"/>
  <c r="R23" i="11"/>
  <c r="C24" i="7"/>
  <c r="U25" i="6"/>
  <c r="V25" i="7"/>
  <c r="R25" i="7"/>
  <c r="Q25" i="7"/>
  <c r="T25" i="7"/>
  <c r="S25" i="7"/>
  <c r="P25" i="18"/>
  <c r="H24" i="7"/>
  <c r="H24" i="9"/>
  <c r="D24" i="9"/>
  <c r="D25" i="18"/>
  <c r="E25" i="18"/>
  <c r="E25" i="9"/>
  <c r="Y25" i="10"/>
  <c r="E25" i="6"/>
  <c r="W25" i="10"/>
  <c r="P20" i="2"/>
  <c r="O20" i="2"/>
  <c r="Q21" i="2"/>
  <c r="G24" i="7"/>
  <c r="D24" i="7"/>
  <c r="C23" i="4"/>
  <c r="D23" i="4"/>
  <c r="C23" i="3"/>
  <c r="D24" i="5"/>
  <c r="D23" i="3"/>
  <c r="C23" i="1"/>
  <c r="C24" i="5"/>
  <c r="C24" i="18" s="1"/>
  <c r="D23" i="1"/>
  <c r="E25" i="7"/>
  <c r="X25" i="10"/>
  <c r="D24" i="6"/>
  <c r="O24" i="6"/>
  <c r="H25" i="18"/>
  <c r="P24" i="7"/>
  <c r="P24" i="9"/>
  <c r="G25" i="6"/>
  <c r="H25" i="6"/>
  <c r="K25" i="6"/>
  <c r="J25" i="6"/>
  <c r="I25" i="6"/>
  <c r="T25" i="10" l="1"/>
  <c r="U25" i="10"/>
  <c r="B23" i="10"/>
  <c r="P23" i="10" s="1"/>
  <c r="C23" i="10"/>
  <c r="Q23" i="10" s="1"/>
  <c r="P22" i="1"/>
  <c r="H22" i="4"/>
  <c r="Q22" i="4"/>
  <c r="G22" i="4"/>
  <c r="G22" i="9" s="1"/>
  <c r="E22" i="4"/>
  <c r="Q23" i="5"/>
  <c r="Q22" i="3"/>
  <c r="J21" i="11"/>
  <c r="T21" i="11" s="1"/>
  <c r="K22" i="10"/>
  <c r="H23" i="5"/>
  <c r="E22" i="1"/>
  <c r="E23" i="5"/>
  <c r="G23" i="5"/>
  <c r="G23" i="18" s="1"/>
  <c r="G22" i="3"/>
  <c r="H22" i="3"/>
  <c r="I22" i="10"/>
  <c r="G22" i="1"/>
  <c r="J22" i="10"/>
  <c r="E22" i="3"/>
  <c r="W23" i="1"/>
  <c r="V23" i="1"/>
  <c r="S23" i="3"/>
  <c r="U23" i="3"/>
  <c r="T23" i="3"/>
  <c r="R23" i="3"/>
  <c r="R24" i="5"/>
  <c r="Q24" i="18" s="1"/>
  <c r="S24" i="5"/>
  <c r="R24" i="18" s="1"/>
  <c r="U24" i="5"/>
  <c r="T24" i="18" s="1"/>
  <c r="T24" i="5"/>
  <c r="S24" i="18" s="1"/>
  <c r="I23" i="3"/>
  <c r="I23" i="7" s="1"/>
  <c r="J23" i="3"/>
  <c r="J23" i="7" s="1"/>
  <c r="L23" i="3"/>
  <c r="L23" i="7" s="1"/>
  <c r="K23" i="3"/>
  <c r="K23" i="7" s="1"/>
  <c r="J23" i="4"/>
  <c r="J23" i="9" s="1"/>
  <c r="I23" i="4"/>
  <c r="I23" i="9" s="1"/>
  <c r="L23" i="4"/>
  <c r="L23" i="9" s="1"/>
  <c r="K23" i="4"/>
  <c r="K23" i="9" s="1"/>
  <c r="K24" i="5"/>
  <c r="K24" i="18" s="1"/>
  <c r="J24" i="5"/>
  <c r="J24" i="18" s="1"/>
  <c r="L24" i="5"/>
  <c r="L24" i="18" s="1"/>
  <c r="I24" i="5"/>
  <c r="I24" i="18" s="1"/>
  <c r="S23" i="4"/>
  <c r="R23" i="9" s="1"/>
  <c r="R23" i="4"/>
  <c r="Q23" i="9" s="1"/>
  <c r="U23" i="4"/>
  <c r="T23" i="9" s="1"/>
  <c r="T23" i="4"/>
  <c r="S23" i="9" s="1"/>
  <c r="I23" i="1"/>
  <c r="H23" i="1"/>
  <c r="K23" i="1"/>
  <c r="J23" i="1"/>
  <c r="S24" i="1"/>
  <c r="R24" i="6" s="1"/>
  <c r="R24" i="1"/>
  <c r="Q24" i="6" s="1"/>
  <c r="Q24" i="1"/>
  <c r="P24" i="6" s="1"/>
  <c r="T24" i="1"/>
  <c r="S24" i="6" s="1"/>
  <c r="L23" i="11"/>
  <c r="C23" i="7"/>
  <c r="C23" i="9"/>
  <c r="C23" i="6"/>
  <c r="L22" i="11"/>
  <c r="G24" i="6"/>
  <c r="H24" i="6"/>
  <c r="I24" i="6"/>
  <c r="K24" i="6"/>
  <c r="J24" i="6"/>
  <c r="P23" i="7"/>
  <c r="H24" i="18"/>
  <c r="G23" i="7"/>
  <c r="D23" i="7"/>
  <c r="O23" i="6"/>
  <c r="H23" i="9"/>
  <c r="O19" i="2"/>
  <c r="Q20" i="2"/>
  <c r="P19" i="2"/>
  <c r="D23" i="6"/>
  <c r="P23" i="9"/>
  <c r="D23" i="9"/>
  <c r="D22" i="3"/>
  <c r="C23" i="5"/>
  <c r="C23" i="18" s="1"/>
  <c r="D23" i="5"/>
  <c r="C22" i="4"/>
  <c r="D22" i="4"/>
  <c r="C22" i="1"/>
  <c r="C22" i="3"/>
  <c r="D22" i="1"/>
  <c r="U24" i="6"/>
  <c r="E24" i="9"/>
  <c r="Y24" i="10"/>
  <c r="V24" i="7"/>
  <c r="S24" i="7"/>
  <c r="T24" i="7"/>
  <c r="Q24" i="7"/>
  <c r="R24" i="7"/>
  <c r="E24" i="6"/>
  <c r="W24" i="10"/>
  <c r="H23" i="7"/>
  <c r="P24" i="18"/>
  <c r="D24" i="18"/>
  <c r="E24" i="18"/>
  <c r="E24" i="7"/>
  <c r="X24" i="10"/>
  <c r="U23" i="10" l="1"/>
  <c r="T23" i="10"/>
  <c r="U24" i="10"/>
  <c r="T24" i="10"/>
  <c r="B22" i="10"/>
  <c r="P22" i="10" s="1"/>
  <c r="C22" i="10"/>
  <c r="Q22" i="10" s="1"/>
  <c r="P21" i="1"/>
  <c r="H21" i="4"/>
  <c r="Q21" i="4"/>
  <c r="G21" i="4"/>
  <c r="G21" i="9" s="1"/>
  <c r="E21" i="4"/>
  <c r="Q22" i="5"/>
  <c r="Q21" i="3"/>
  <c r="H22" i="5"/>
  <c r="K21" i="10"/>
  <c r="J20" i="11"/>
  <c r="T20" i="11" s="1"/>
  <c r="E22" i="5"/>
  <c r="E21" i="1"/>
  <c r="H21" i="3"/>
  <c r="G22" i="5"/>
  <c r="G22" i="18" s="1"/>
  <c r="G21" i="3"/>
  <c r="I21" i="10"/>
  <c r="G21" i="1"/>
  <c r="J21" i="10"/>
  <c r="E21" i="3"/>
  <c r="W22" i="1"/>
  <c r="V22" i="1"/>
  <c r="U22" i="4"/>
  <c r="T22" i="9" s="1"/>
  <c r="R22" i="4"/>
  <c r="Q22" i="9" s="1"/>
  <c r="T22" i="4"/>
  <c r="S22" i="9" s="1"/>
  <c r="S22" i="4"/>
  <c r="R22" i="9" s="1"/>
  <c r="K22" i="3"/>
  <c r="K22" i="7" s="1"/>
  <c r="J22" i="3"/>
  <c r="J22" i="7" s="1"/>
  <c r="L22" i="3"/>
  <c r="L22" i="7" s="1"/>
  <c r="I22" i="3"/>
  <c r="I22" i="7" s="1"/>
  <c r="K22" i="1"/>
  <c r="H22" i="1"/>
  <c r="J22" i="1"/>
  <c r="I22" i="1"/>
  <c r="I22" i="4"/>
  <c r="I22" i="9" s="1"/>
  <c r="K22" i="4"/>
  <c r="K22" i="9" s="1"/>
  <c r="J22" i="4"/>
  <c r="J22" i="9" s="1"/>
  <c r="L22" i="4"/>
  <c r="L22" i="9" s="1"/>
  <c r="U23" i="5"/>
  <c r="T23" i="18" s="1"/>
  <c r="S23" i="5"/>
  <c r="R23" i="18" s="1"/>
  <c r="T23" i="5"/>
  <c r="S23" i="18" s="1"/>
  <c r="R23" i="5"/>
  <c r="Q23" i="18" s="1"/>
  <c r="J23" i="5"/>
  <c r="J23" i="18" s="1"/>
  <c r="I23" i="5"/>
  <c r="I23" i="18" s="1"/>
  <c r="L23" i="5"/>
  <c r="L23" i="18" s="1"/>
  <c r="K23" i="5"/>
  <c r="K23" i="18" s="1"/>
  <c r="T22" i="3"/>
  <c r="S22" i="3"/>
  <c r="R22" i="3"/>
  <c r="U22" i="3"/>
  <c r="R23" i="1"/>
  <c r="Q23" i="6" s="1"/>
  <c r="Q23" i="1"/>
  <c r="P23" i="6" s="1"/>
  <c r="T23" i="1"/>
  <c r="S23" i="6" s="1"/>
  <c r="S23" i="1"/>
  <c r="R23" i="6" s="1"/>
  <c r="R22" i="11"/>
  <c r="C22" i="7"/>
  <c r="C22" i="9"/>
  <c r="C22" i="6"/>
  <c r="L21" i="11"/>
  <c r="H22" i="7"/>
  <c r="P22" i="7"/>
  <c r="E23" i="9"/>
  <c r="Y23" i="10"/>
  <c r="G23" i="6"/>
  <c r="I23" i="6"/>
  <c r="J23" i="6"/>
  <c r="H23" i="6"/>
  <c r="K23" i="6"/>
  <c r="U23" i="6"/>
  <c r="D22" i="9"/>
  <c r="P22" i="9"/>
  <c r="G22" i="7"/>
  <c r="D22" i="7"/>
  <c r="E23" i="7"/>
  <c r="X23" i="10"/>
  <c r="D22" i="6"/>
  <c r="H23" i="18"/>
  <c r="O18" i="2"/>
  <c r="Q19" i="2"/>
  <c r="P18" i="2"/>
  <c r="V23" i="7"/>
  <c r="T23" i="7"/>
  <c r="S23" i="7"/>
  <c r="Q23" i="7"/>
  <c r="R23" i="7"/>
  <c r="O22" i="6"/>
  <c r="H22" i="9"/>
  <c r="D23" i="18"/>
  <c r="E23" i="18"/>
  <c r="P23" i="18"/>
  <c r="E23" i="6"/>
  <c r="W23" i="10"/>
  <c r="C21" i="4"/>
  <c r="D21" i="3"/>
  <c r="C21" i="3"/>
  <c r="D21" i="4"/>
  <c r="C21" i="1"/>
  <c r="D21" i="1"/>
  <c r="D22" i="5"/>
  <c r="C22" i="5"/>
  <c r="C22" i="18" s="1"/>
  <c r="T22" i="10" l="1"/>
  <c r="U22" i="10"/>
  <c r="C21" i="10"/>
  <c r="Q21" i="10" s="1"/>
  <c r="B21" i="10"/>
  <c r="P21" i="10" s="1"/>
  <c r="P20" i="1"/>
  <c r="Q20" i="4"/>
  <c r="H20" i="4"/>
  <c r="G20" i="4"/>
  <c r="G20" i="9" s="1"/>
  <c r="E20" i="4"/>
  <c r="K20" i="10"/>
  <c r="H21" i="5"/>
  <c r="J19" i="11"/>
  <c r="T19" i="11" s="1"/>
  <c r="Q20" i="3"/>
  <c r="Q21" i="5"/>
  <c r="G21" i="5"/>
  <c r="G21" i="18" s="1"/>
  <c r="H20" i="3"/>
  <c r="E21" i="5"/>
  <c r="G20" i="3"/>
  <c r="E20" i="1"/>
  <c r="I20" i="10"/>
  <c r="G20" i="1"/>
  <c r="E20" i="3"/>
  <c r="J20" i="10"/>
  <c r="W21" i="1"/>
  <c r="V21" i="1"/>
  <c r="I21" i="1"/>
  <c r="K21" i="1"/>
  <c r="H21" i="1"/>
  <c r="J21" i="1"/>
  <c r="T21" i="4"/>
  <c r="S21" i="9" s="1"/>
  <c r="U21" i="4"/>
  <c r="T21" i="9" s="1"/>
  <c r="R21" i="4"/>
  <c r="Q21" i="9" s="1"/>
  <c r="S21" i="4"/>
  <c r="R21" i="9" s="1"/>
  <c r="U22" i="5"/>
  <c r="T22" i="18" s="1"/>
  <c r="R22" i="5"/>
  <c r="Q22" i="18" s="1"/>
  <c r="S22" i="5"/>
  <c r="R22" i="18" s="1"/>
  <c r="T22" i="5"/>
  <c r="S22" i="18" s="1"/>
  <c r="J22" i="5"/>
  <c r="J22" i="18" s="1"/>
  <c r="I22" i="5"/>
  <c r="I22" i="18" s="1"/>
  <c r="L22" i="5"/>
  <c r="L22" i="18" s="1"/>
  <c r="K22" i="5"/>
  <c r="K22" i="18" s="1"/>
  <c r="L21" i="4"/>
  <c r="L21" i="9" s="1"/>
  <c r="J21" i="4"/>
  <c r="J21" i="9" s="1"/>
  <c r="I21" i="4"/>
  <c r="I21" i="9" s="1"/>
  <c r="K21" i="4"/>
  <c r="K21" i="9" s="1"/>
  <c r="J21" i="3"/>
  <c r="J21" i="7" s="1"/>
  <c r="I21" i="3"/>
  <c r="I21" i="7" s="1"/>
  <c r="L21" i="3"/>
  <c r="L21" i="7" s="1"/>
  <c r="K21" i="3"/>
  <c r="K21" i="7" s="1"/>
  <c r="U21" i="3"/>
  <c r="T21" i="3"/>
  <c r="R21" i="3"/>
  <c r="S21" i="3"/>
  <c r="R22" i="1"/>
  <c r="Q22" i="6" s="1"/>
  <c r="Q22" i="1"/>
  <c r="P22" i="6" s="1"/>
  <c r="S22" i="1"/>
  <c r="R22" i="6" s="1"/>
  <c r="T22" i="1"/>
  <c r="S22" i="6" s="1"/>
  <c r="R21" i="11"/>
  <c r="C21" i="9"/>
  <c r="C21" i="6"/>
  <c r="L20" i="11"/>
  <c r="C21" i="7"/>
  <c r="P21" i="7"/>
  <c r="O21" i="6"/>
  <c r="D21" i="7"/>
  <c r="G21" i="7"/>
  <c r="E22" i="6"/>
  <c r="W22" i="10"/>
  <c r="V22" i="7"/>
  <c r="R22" i="7"/>
  <c r="T22" i="7"/>
  <c r="Q22" i="7"/>
  <c r="S22" i="7"/>
  <c r="H21" i="7"/>
  <c r="D21" i="6"/>
  <c r="P21" i="9"/>
  <c r="U22" i="6"/>
  <c r="E22" i="7"/>
  <c r="X22" i="10"/>
  <c r="E22" i="18"/>
  <c r="D22" i="18"/>
  <c r="H22" i="18"/>
  <c r="H21" i="9"/>
  <c r="D21" i="9"/>
  <c r="Q18" i="2"/>
  <c r="P17" i="2"/>
  <c r="O17" i="2"/>
  <c r="G22" i="6"/>
  <c r="J22" i="6"/>
  <c r="K22" i="6"/>
  <c r="H22" i="6"/>
  <c r="I22" i="6"/>
  <c r="P22" i="18"/>
  <c r="C20" i="4"/>
  <c r="C20" i="1"/>
  <c r="C20" i="3"/>
  <c r="D21" i="5"/>
  <c r="D20" i="4"/>
  <c r="D20" i="3"/>
  <c r="C21" i="5"/>
  <c r="C21" i="18" s="1"/>
  <c r="D20" i="1"/>
  <c r="E22" i="9"/>
  <c r="Y22" i="10"/>
  <c r="T21" i="10" l="1"/>
  <c r="U21" i="10"/>
  <c r="B20" i="10"/>
  <c r="P20" i="10" s="1"/>
  <c r="C20" i="10"/>
  <c r="Q20" i="10" s="1"/>
  <c r="W20" i="1"/>
  <c r="V20" i="1"/>
  <c r="P19" i="1"/>
  <c r="H19" i="4"/>
  <c r="Q19" i="4"/>
  <c r="E19" i="4"/>
  <c r="G19" i="4"/>
  <c r="G19" i="9" s="1"/>
  <c r="Q19" i="3"/>
  <c r="Q20" i="5"/>
  <c r="H20" i="5"/>
  <c r="K19" i="10"/>
  <c r="J18" i="11"/>
  <c r="T18" i="11" s="1"/>
  <c r="E20" i="5"/>
  <c r="H19" i="3"/>
  <c r="G20" i="5"/>
  <c r="G20" i="18" s="1"/>
  <c r="E19" i="1"/>
  <c r="G19" i="3"/>
  <c r="G19" i="1"/>
  <c r="I19" i="10"/>
  <c r="E19" i="3"/>
  <c r="J19" i="10"/>
  <c r="I20" i="3"/>
  <c r="I20" i="7" s="1"/>
  <c r="J20" i="3"/>
  <c r="J20" i="7" s="1"/>
  <c r="L20" i="3"/>
  <c r="L20" i="7" s="1"/>
  <c r="K20" i="3"/>
  <c r="K20" i="7" s="1"/>
  <c r="T20" i="4"/>
  <c r="S20" i="9" s="1"/>
  <c r="S20" i="4"/>
  <c r="R20" i="9" s="1"/>
  <c r="R20" i="4"/>
  <c r="Q20" i="9" s="1"/>
  <c r="U20" i="4"/>
  <c r="T20" i="9" s="1"/>
  <c r="T21" i="5"/>
  <c r="S21" i="18" s="1"/>
  <c r="S21" i="5"/>
  <c r="R21" i="18" s="1"/>
  <c r="U21" i="5"/>
  <c r="T21" i="18" s="1"/>
  <c r="R21" i="5"/>
  <c r="Q21" i="18" s="1"/>
  <c r="J21" i="5"/>
  <c r="J21" i="18" s="1"/>
  <c r="I21" i="5"/>
  <c r="I21" i="18" s="1"/>
  <c r="L21" i="5"/>
  <c r="L21" i="18" s="1"/>
  <c r="K21" i="5"/>
  <c r="K21" i="18" s="1"/>
  <c r="J20" i="4"/>
  <c r="J20" i="9" s="1"/>
  <c r="K20" i="4"/>
  <c r="K20" i="9" s="1"/>
  <c r="I20" i="4"/>
  <c r="I20" i="9" s="1"/>
  <c r="L20" i="4"/>
  <c r="L20" i="9" s="1"/>
  <c r="I20" i="1"/>
  <c r="H20" i="1"/>
  <c r="K20" i="1"/>
  <c r="J20" i="1"/>
  <c r="S20" i="3"/>
  <c r="R20" i="3"/>
  <c r="T20" i="3"/>
  <c r="U20" i="3"/>
  <c r="R21" i="1"/>
  <c r="Q21" i="6" s="1"/>
  <c r="S21" i="1"/>
  <c r="R21" i="6" s="1"/>
  <c r="T21" i="1"/>
  <c r="S21" i="6" s="1"/>
  <c r="Q21" i="1"/>
  <c r="P21" i="6" s="1"/>
  <c r="R20" i="11"/>
  <c r="C20" i="6"/>
  <c r="C20" i="9"/>
  <c r="C20" i="7"/>
  <c r="D20" i="9"/>
  <c r="H20" i="9"/>
  <c r="O16" i="2"/>
  <c r="Q17" i="2"/>
  <c r="P16" i="2"/>
  <c r="E21" i="9"/>
  <c r="Y21" i="10"/>
  <c r="G20" i="7"/>
  <c r="D20" i="7"/>
  <c r="P20" i="9"/>
  <c r="G21" i="6"/>
  <c r="I21" i="6"/>
  <c r="K21" i="6"/>
  <c r="J21" i="6"/>
  <c r="H21" i="6"/>
  <c r="E21" i="7"/>
  <c r="X21" i="10"/>
  <c r="V21" i="7"/>
  <c r="Q21" i="7"/>
  <c r="S21" i="7"/>
  <c r="T21" i="7"/>
  <c r="R21" i="7"/>
  <c r="P21" i="18"/>
  <c r="E21" i="18"/>
  <c r="D21" i="18"/>
  <c r="H20" i="7"/>
  <c r="C19" i="3"/>
  <c r="D19" i="1"/>
  <c r="C19" i="4"/>
  <c r="D19" i="4"/>
  <c r="C20" i="5"/>
  <c r="C20" i="18" s="1"/>
  <c r="D19" i="3"/>
  <c r="C19" i="1"/>
  <c r="D20" i="5"/>
  <c r="E21" i="6"/>
  <c r="W21" i="10"/>
  <c r="D20" i="6"/>
  <c r="H21" i="18"/>
  <c r="P20" i="7"/>
  <c r="O20" i="6"/>
  <c r="U21" i="6"/>
  <c r="C19" i="10" l="1"/>
  <c r="B19" i="10"/>
  <c r="P19" i="10" s="1"/>
  <c r="W19" i="1"/>
  <c r="V19" i="1"/>
  <c r="P18" i="1"/>
  <c r="H18" i="4"/>
  <c r="Q18" i="4"/>
  <c r="E18" i="4"/>
  <c r="G18" i="4"/>
  <c r="G18" i="9" s="1"/>
  <c r="H19" i="5"/>
  <c r="Q18" i="3"/>
  <c r="Q19" i="5"/>
  <c r="K18" i="10"/>
  <c r="J17" i="11"/>
  <c r="T17" i="11" s="1"/>
  <c r="G19" i="5"/>
  <c r="G19" i="18" s="1"/>
  <c r="E19" i="5"/>
  <c r="H18" i="3"/>
  <c r="G18" i="3"/>
  <c r="I18" i="10"/>
  <c r="E18" i="1"/>
  <c r="E18" i="3"/>
  <c r="J18" i="10"/>
  <c r="G18" i="1"/>
  <c r="I19" i="1"/>
  <c r="K19" i="1"/>
  <c r="H19" i="1"/>
  <c r="J19" i="1"/>
  <c r="J19" i="4"/>
  <c r="J19" i="9" s="1"/>
  <c r="L19" i="4"/>
  <c r="L19" i="9" s="1"/>
  <c r="I19" i="4"/>
  <c r="I19" i="9" s="1"/>
  <c r="K19" i="4"/>
  <c r="K19" i="9" s="1"/>
  <c r="K19" i="3"/>
  <c r="K19" i="7" s="1"/>
  <c r="J19" i="3"/>
  <c r="J19" i="7" s="1"/>
  <c r="L19" i="3"/>
  <c r="L19" i="7" s="1"/>
  <c r="I19" i="3"/>
  <c r="I19" i="7" s="1"/>
  <c r="T19" i="4"/>
  <c r="S19" i="9" s="1"/>
  <c r="R19" i="4"/>
  <c r="Q19" i="9" s="1"/>
  <c r="U19" i="4"/>
  <c r="T19" i="9" s="1"/>
  <c r="S19" i="4"/>
  <c r="R19" i="9" s="1"/>
  <c r="R19" i="3"/>
  <c r="S19" i="3"/>
  <c r="U19" i="3"/>
  <c r="T19" i="3"/>
  <c r="J20" i="5"/>
  <c r="J20" i="18" s="1"/>
  <c r="I20" i="5"/>
  <c r="I20" i="18" s="1"/>
  <c r="L20" i="5"/>
  <c r="L20" i="18" s="1"/>
  <c r="K20" i="5"/>
  <c r="K20" i="18" s="1"/>
  <c r="U20" i="5"/>
  <c r="T20" i="18" s="1"/>
  <c r="R20" i="5"/>
  <c r="Q20" i="18" s="1"/>
  <c r="S20" i="5"/>
  <c r="R20" i="18" s="1"/>
  <c r="T20" i="5"/>
  <c r="S20" i="18" s="1"/>
  <c r="R20" i="1"/>
  <c r="Q20" i="6" s="1"/>
  <c r="Q20" i="1"/>
  <c r="P20" i="6" s="1"/>
  <c r="T20" i="1"/>
  <c r="S20" i="6" s="1"/>
  <c r="S20" i="1"/>
  <c r="R20" i="6" s="1"/>
  <c r="L19" i="11"/>
  <c r="R19" i="11"/>
  <c r="C19" i="6"/>
  <c r="C19" i="9"/>
  <c r="C19" i="7"/>
  <c r="U20" i="6"/>
  <c r="E20" i="6"/>
  <c r="W20" i="10"/>
  <c r="H20" i="18"/>
  <c r="P19" i="7"/>
  <c r="P19" i="9"/>
  <c r="E20" i="7"/>
  <c r="X20" i="10"/>
  <c r="G19" i="7"/>
  <c r="D19" i="7"/>
  <c r="D19" i="9"/>
  <c r="P15" i="2"/>
  <c r="O15" i="2"/>
  <c r="Q16" i="2"/>
  <c r="E20" i="9"/>
  <c r="Y20" i="10"/>
  <c r="V20" i="7"/>
  <c r="Q20" i="7"/>
  <c r="R20" i="7"/>
  <c r="S20" i="7"/>
  <c r="T20" i="7"/>
  <c r="H19" i="9"/>
  <c r="H19" i="7"/>
  <c r="O19" i="6"/>
  <c r="P20" i="18"/>
  <c r="D19" i="6"/>
  <c r="Q19" i="10"/>
  <c r="C19" i="5"/>
  <c r="C19" i="18" s="1"/>
  <c r="D18" i="3"/>
  <c r="C18" i="3"/>
  <c r="D19" i="5"/>
  <c r="C18" i="1"/>
  <c r="D18" i="1"/>
  <c r="D18" i="4"/>
  <c r="C18" i="4"/>
  <c r="G20" i="6"/>
  <c r="H20" i="6"/>
  <c r="K20" i="6"/>
  <c r="I20" i="6"/>
  <c r="J20" i="6"/>
  <c r="D20" i="18"/>
  <c r="E20" i="18"/>
  <c r="T20" i="10" l="1"/>
  <c r="U20" i="10"/>
  <c r="B18" i="10"/>
  <c r="P18" i="10" s="1"/>
  <c r="C18" i="10"/>
  <c r="Q18" i="10" s="1"/>
  <c r="V18" i="1"/>
  <c r="W18" i="1"/>
  <c r="P17" i="1"/>
  <c r="Q17" i="4"/>
  <c r="H17" i="4"/>
  <c r="E17" i="4"/>
  <c r="G17" i="4"/>
  <c r="G17" i="9" s="1"/>
  <c r="J16" i="11"/>
  <c r="T16" i="11" s="1"/>
  <c r="Q17" i="3"/>
  <c r="Q18" i="5"/>
  <c r="H18" i="5"/>
  <c r="K17" i="10"/>
  <c r="G18" i="5"/>
  <c r="G18" i="18" s="1"/>
  <c r="E17" i="1"/>
  <c r="E18" i="5"/>
  <c r="H17" i="3"/>
  <c r="I17" i="10"/>
  <c r="G17" i="3"/>
  <c r="J17" i="10"/>
  <c r="G17" i="1"/>
  <c r="E17" i="3"/>
  <c r="T19" i="5"/>
  <c r="S19" i="18" s="1"/>
  <c r="U19" i="5"/>
  <c r="T19" i="18" s="1"/>
  <c r="S19" i="5"/>
  <c r="R19" i="18" s="1"/>
  <c r="R19" i="5"/>
  <c r="Q19" i="18" s="1"/>
  <c r="J19" i="5"/>
  <c r="J19" i="18" s="1"/>
  <c r="I19" i="5"/>
  <c r="I19" i="18" s="1"/>
  <c r="L19" i="5"/>
  <c r="L19" i="18" s="1"/>
  <c r="K19" i="5"/>
  <c r="K19" i="18" s="1"/>
  <c r="U18" i="4"/>
  <c r="T18" i="9" s="1"/>
  <c r="R18" i="4"/>
  <c r="Q18" i="9" s="1"/>
  <c r="S18" i="4"/>
  <c r="R18" i="9" s="1"/>
  <c r="T18" i="4"/>
  <c r="S18" i="9" s="1"/>
  <c r="K18" i="1"/>
  <c r="H18" i="1"/>
  <c r="J18" i="1"/>
  <c r="I18" i="1"/>
  <c r="T18" i="3"/>
  <c r="S18" i="3"/>
  <c r="U18" i="3"/>
  <c r="R18" i="3"/>
  <c r="J18" i="4"/>
  <c r="J18" i="9" s="1"/>
  <c r="I18" i="4"/>
  <c r="I18" i="9" s="1"/>
  <c r="L18" i="4"/>
  <c r="L18" i="9" s="1"/>
  <c r="K18" i="4"/>
  <c r="K18" i="9" s="1"/>
  <c r="J18" i="3"/>
  <c r="J18" i="7" s="1"/>
  <c r="I18" i="3"/>
  <c r="I18" i="7" s="1"/>
  <c r="L18" i="3"/>
  <c r="L18" i="7" s="1"/>
  <c r="K18" i="3"/>
  <c r="K18" i="7" s="1"/>
  <c r="R19" i="1"/>
  <c r="Q19" i="6" s="1"/>
  <c r="S19" i="1"/>
  <c r="R19" i="6" s="1"/>
  <c r="Q19" i="1"/>
  <c r="P19" i="6" s="1"/>
  <c r="T19" i="1"/>
  <c r="S19" i="6" s="1"/>
  <c r="L18" i="11"/>
  <c r="R18" i="11"/>
  <c r="C18" i="9"/>
  <c r="C18" i="6"/>
  <c r="R17" i="11"/>
  <c r="C18" i="7"/>
  <c r="H19" i="18"/>
  <c r="P18" i="7"/>
  <c r="E19" i="18"/>
  <c r="D19" i="18"/>
  <c r="E19" i="6"/>
  <c r="W19" i="10"/>
  <c r="U19" i="6"/>
  <c r="Q15" i="2"/>
  <c r="P14" i="2"/>
  <c r="O14" i="2"/>
  <c r="D18" i="9"/>
  <c r="H18" i="7"/>
  <c r="G19" i="6"/>
  <c r="I19" i="6"/>
  <c r="H19" i="6"/>
  <c r="K19" i="6"/>
  <c r="J19" i="6"/>
  <c r="C17" i="4"/>
  <c r="D17" i="3"/>
  <c r="C18" i="5"/>
  <c r="C18" i="18" s="1"/>
  <c r="D17" i="1"/>
  <c r="D18" i="5"/>
  <c r="C17" i="3"/>
  <c r="D17" i="4"/>
  <c r="C17" i="1"/>
  <c r="P19" i="18"/>
  <c r="H18" i="9"/>
  <c r="G18" i="7"/>
  <c r="D18" i="7"/>
  <c r="E19" i="9"/>
  <c r="Y19" i="10"/>
  <c r="E19" i="7"/>
  <c r="X19" i="10"/>
  <c r="V19" i="7"/>
  <c r="S19" i="7"/>
  <c r="R19" i="7"/>
  <c r="Q19" i="7"/>
  <c r="T19" i="7"/>
  <c r="P18" i="9"/>
  <c r="D18" i="6"/>
  <c r="O18" i="6"/>
  <c r="U19" i="10" l="1"/>
  <c r="T19" i="10"/>
  <c r="C17" i="10"/>
  <c r="Q17" i="10" s="1"/>
  <c r="B17" i="10"/>
  <c r="P17" i="10" s="1"/>
  <c r="W17" i="1"/>
  <c r="V17" i="1"/>
  <c r="P16" i="1"/>
  <c r="H16" i="4"/>
  <c r="Q16" i="4"/>
  <c r="G16" i="4"/>
  <c r="G16" i="9" s="1"/>
  <c r="E16" i="4"/>
  <c r="Q17" i="5"/>
  <c r="Q16" i="3"/>
  <c r="K16" i="10"/>
  <c r="H17" i="5"/>
  <c r="J15" i="11"/>
  <c r="T15" i="11" s="1"/>
  <c r="E17" i="5"/>
  <c r="H16" i="3"/>
  <c r="G17" i="5"/>
  <c r="G17" i="18" s="1"/>
  <c r="E16" i="1"/>
  <c r="I16" i="10"/>
  <c r="G16" i="1"/>
  <c r="G16" i="3"/>
  <c r="J16" i="10"/>
  <c r="E16" i="3"/>
  <c r="T17" i="3"/>
  <c r="U17" i="3"/>
  <c r="S17" i="3"/>
  <c r="R17" i="3"/>
  <c r="I17" i="1"/>
  <c r="H17" i="1"/>
  <c r="K17" i="1"/>
  <c r="J17" i="1"/>
  <c r="I17" i="3"/>
  <c r="I17" i="7" s="1"/>
  <c r="J17" i="3"/>
  <c r="J17" i="7" s="1"/>
  <c r="L17" i="3"/>
  <c r="L17" i="7" s="1"/>
  <c r="K17" i="3"/>
  <c r="K17" i="7" s="1"/>
  <c r="J17" i="4"/>
  <c r="J17" i="9" s="1"/>
  <c r="K17" i="4"/>
  <c r="K17" i="9" s="1"/>
  <c r="L17" i="4"/>
  <c r="L17" i="9" s="1"/>
  <c r="I17" i="4"/>
  <c r="I17" i="9" s="1"/>
  <c r="S18" i="5"/>
  <c r="R18" i="18" s="1"/>
  <c r="U18" i="5"/>
  <c r="T18" i="18" s="1"/>
  <c r="T18" i="5"/>
  <c r="S18" i="18" s="1"/>
  <c r="R18" i="5"/>
  <c r="Q18" i="18" s="1"/>
  <c r="J18" i="5"/>
  <c r="J18" i="18" s="1"/>
  <c r="I18" i="5"/>
  <c r="I18" i="18" s="1"/>
  <c r="L18" i="5"/>
  <c r="L18" i="18" s="1"/>
  <c r="K18" i="5"/>
  <c r="K18" i="18" s="1"/>
  <c r="U17" i="4"/>
  <c r="T17" i="9" s="1"/>
  <c r="T17" i="4"/>
  <c r="S17" i="9" s="1"/>
  <c r="R17" i="4"/>
  <c r="Q17" i="9" s="1"/>
  <c r="S17" i="4"/>
  <c r="R17" i="9" s="1"/>
  <c r="R18" i="1"/>
  <c r="Q18" i="6" s="1"/>
  <c r="S18" i="1"/>
  <c r="R18" i="6" s="1"/>
  <c r="T18" i="1"/>
  <c r="S18" i="6" s="1"/>
  <c r="Q18" i="1"/>
  <c r="P18" i="6" s="1"/>
  <c r="L17" i="11"/>
  <c r="C17" i="9"/>
  <c r="C17" i="7"/>
  <c r="C17" i="6"/>
  <c r="E18" i="6"/>
  <c r="W18" i="10"/>
  <c r="E18" i="7"/>
  <c r="X18" i="10"/>
  <c r="H18" i="18"/>
  <c r="E18" i="9"/>
  <c r="Y18" i="10"/>
  <c r="D16" i="3"/>
  <c r="D16" i="1"/>
  <c r="C16" i="4"/>
  <c r="C17" i="5"/>
  <c r="C17" i="18" s="1"/>
  <c r="D16" i="4"/>
  <c r="C16" i="3"/>
  <c r="D17" i="5"/>
  <c r="C16" i="1"/>
  <c r="U18" i="6"/>
  <c r="P18" i="18"/>
  <c r="P17" i="7"/>
  <c r="H17" i="9"/>
  <c r="D17" i="7"/>
  <c r="G17" i="7"/>
  <c r="V18" i="7"/>
  <c r="Q18" i="7"/>
  <c r="T18" i="7"/>
  <c r="R18" i="7"/>
  <c r="S18" i="7"/>
  <c r="H17" i="7"/>
  <c r="D18" i="18"/>
  <c r="E18" i="18"/>
  <c r="D17" i="6"/>
  <c r="Q14" i="2"/>
  <c r="O13" i="2"/>
  <c r="P13" i="2"/>
  <c r="G18" i="6"/>
  <c r="K18" i="6"/>
  <c r="J18" i="6"/>
  <c r="H18" i="6"/>
  <c r="I18" i="6"/>
  <c r="D17" i="9"/>
  <c r="P17" i="9"/>
  <c r="O17" i="6"/>
  <c r="T18" i="10" l="1"/>
  <c r="U18" i="10"/>
  <c r="B16" i="10"/>
  <c r="P16" i="10" s="1"/>
  <c r="C16" i="10"/>
  <c r="Q16" i="10" s="1"/>
  <c r="W16" i="1"/>
  <c r="V16" i="1"/>
  <c r="P15" i="1"/>
  <c r="H15" i="4"/>
  <c r="Q15" i="4"/>
  <c r="E15" i="4"/>
  <c r="G15" i="4"/>
  <c r="G15" i="9" s="1"/>
  <c r="J14" i="11"/>
  <c r="T14" i="11" s="1"/>
  <c r="Q15" i="3"/>
  <c r="Q16" i="5"/>
  <c r="H16" i="5"/>
  <c r="K15" i="10"/>
  <c r="G16" i="5"/>
  <c r="G16" i="18" s="1"/>
  <c r="G15" i="3"/>
  <c r="H15" i="3"/>
  <c r="E16" i="5"/>
  <c r="E15" i="1"/>
  <c r="I15" i="10"/>
  <c r="E15" i="3"/>
  <c r="J15" i="10"/>
  <c r="G15" i="1"/>
  <c r="I16" i="1"/>
  <c r="K16" i="1"/>
  <c r="H16" i="1"/>
  <c r="J16" i="1"/>
  <c r="J17" i="5"/>
  <c r="J17" i="18" s="1"/>
  <c r="I17" i="5"/>
  <c r="I17" i="18" s="1"/>
  <c r="L17" i="5"/>
  <c r="L17" i="18" s="1"/>
  <c r="K17" i="5"/>
  <c r="K17" i="18" s="1"/>
  <c r="J16" i="4"/>
  <c r="J16" i="9" s="1"/>
  <c r="I16" i="4"/>
  <c r="I16" i="9" s="1"/>
  <c r="K16" i="4"/>
  <c r="K16" i="9" s="1"/>
  <c r="L16" i="4"/>
  <c r="L16" i="9" s="1"/>
  <c r="U16" i="4"/>
  <c r="T16" i="9" s="1"/>
  <c r="T16" i="4"/>
  <c r="S16" i="9" s="1"/>
  <c r="S16" i="4"/>
  <c r="R16" i="9" s="1"/>
  <c r="R16" i="4"/>
  <c r="Q16" i="9" s="1"/>
  <c r="T17" i="5"/>
  <c r="S17" i="18" s="1"/>
  <c r="U17" i="5"/>
  <c r="T17" i="18" s="1"/>
  <c r="R17" i="5"/>
  <c r="Q17" i="18" s="1"/>
  <c r="S17" i="5"/>
  <c r="R17" i="18" s="1"/>
  <c r="K16" i="3"/>
  <c r="K16" i="7" s="1"/>
  <c r="J16" i="3"/>
  <c r="J16" i="7" s="1"/>
  <c r="L16" i="3"/>
  <c r="L16" i="7" s="1"/>
  <c r="I16" i="3"/>
  <c r="I16" i="7" s="1"/>
  <c r="S16" i="3"/>
  <c r="U16" i="3"/>
  <c r="R16" i="3"/>
  <c r="T16" i="3"/>
  <c r="T17" i="1"/>
  <c r="S17" i="6" s="1"/>
  <c r="Q17" i="1"/>
  <c r="P17" i="6" s="1"/>
  <c r="R17" i="1"/>
  <c r="Q17" i="6" s="1"/>
  <c r="S17" i="1"/>
  <c r="R17" i="6" s="1"/>
  <c r="R16" i="11"/>
  <c r="L16" i="11"/>
  <c r="C16" i="6"/>
  <c r="R15" i="11"/>
  <c r="C16" i="7"/>
  <c r="C16" i="9"/>
  <c r="U17" i="6"/>
  <c r="E17" i="6"/>
  <c r="W17" i="10"/>
  <c r="D17" i="18"/>
  <c r="E17" i="18"/>
  <c r="O16" i="6"/>
  <c r="D16" i="6"/>
  <c r="P17" i="18"/>
  <c r="V17" i="7"/>
  <c r="Q17" i="7"/>
  <c r="T17" i="7"/>
  <c r="S17" i="7"/>
  <c r="R17" i="7"/>
  <c r="P16" i="9"/>
  <c r="P16" i="7"/>
  <c r="H16" i="9"/>
  <c r="C15" i="3"/>
  <c r="D15" i="1"/>
  <c r="D15" i="3"/>
  <c r="D15" i="4"/>
  <c r="D16" i="5"/>
  <c r="C15" i="1"/>
  <c r="C16" i="5"/>
  <c r="C16" i="18" s="1"/>
  <c r="C15" i="4"/>
  <c r="G17" i="6"/>
  <c r="J17" i="6"/>
  <c r="I17" i="6"/>
  <c r="H17" i="6"/>
  <c r="K17" i="6"/>
  <c r="D16" i="9"/>
  <c r="H17" i="18"/>
  <c r="E17" i="9"/>
  <c r="Y17" i="10"/>
  <c r="O12" i="2"/>
  <c r="Q13" i="2"/>
  <c r="P12" i="2"/>
  <c r="E17" i="7"/>
  <c r="X17" i="10"/>
  <c r="H16" i="7"/>
  <c r="G16" i="7"/>
  <c r="D16" i="7"/>
  <c r="T17" i="10" l="1"/>
  <c r="U17" i="10"/>
  <c r="B15" i="10"/>
  <c r="P15" i="10" s="1"/>
  <c r="C15" i="10"/>
  <c r="Q15" i="10" s="1"/>
  <c r="P14" i="1"/>
  <c r="H14" i="4"/>
  <c r="Q14" i="4"/>
  <c r="E14" i="4"/>
  <c r="G14" i="4"/>
  <c r="G14" i="9" s="1"/>
  <c r="K14" i="10"/>
  <c r="Q14" i="3"/>
  <c r="Q15" i="5"/>
  <c r="H15" i="5"/>
  <c r="J13" i="11"/>
  <c r="T13" i="11" s="1"/>
  <c r="E15" i="5"/>
  <c r="E14" i="1"/>
  <c r="I14" i="10"/>
  <c r="H14" i="3"/>
  <c r="G14" i="3"/>
  <c r="G15" i="5"/>
  <c r="G15" i="18" s="1"/>
  <c r="E14" i="3"/>
  <c r="J14" i="10"/>
  <c r="G14" i="1"/>
  <c r="V15" i="1"/>
  <c r="W15" i="1"/>
  <c r="J15" i="4"/>
  <c r="J15" i="9" s="1"/>
  <c r="I15" i="4"/>
  <c r="I15" i="9" s="1"/>
  <c r="K15" i="4"/>
  <c r="K15" i="9" s="1"/>
  <c r="L15" i="4"/>
  <c r="L15" i="9" s="1"/>
  <c r="I15" i="3"/>
  <c r="I15" i="7" s="1"/>
  <c r="J15" i="3"/>
  <c r="J15" i="7" s="1"/>
  <c r="L15" i="3"/>
  <c r="L15" i="7" s="1"/>
  <c r="K15" i="3"/>
  <c r="K15" i="7" s="1"/>
  <c r="J16" i="5"/>
  <c r="J16" i="18" s="1"/>
  <c r="I16" i="5"/>
  <c r="I16" i="18" s="1"/>
  <c r="L16" i="5"/>
  <c r="L16" i="18" s="1"/>
  <c r="K16" i="5"/>
  <c r="K16" i="18" s="1"/>
  <c r="T15" i="3"/>
  <c r="S15" i="3"/>
  <c r="R15" i="3"/>
  <c r="U15" i="3"/>
  <c r="R15" i="4"/>
  <c r="Q15" i="9" s="1"/>
  <c r="U15" i="4"/>
  <c r="T15" i="9" s="1"/>
  <c r="T15" i="4"/>
  <c r="S15" i="9" s="1"/>
  <c r="S15" i="4"/>
  <c r="R15" i="9" s="1"/>
  <c r="R16" i="5"/>
  <c r="Q16" i="18" s="1"/>
  <c r="S16" i="5"/>
  <c r="R16" i="18" s="1"/>
  <c r="T16" i="5"/>
  <c r="S16" i="18" s="1"/>
  <c r="U16" i="5"/>
  <c r="T16" i="18" s="1"/>
  <c r="I15" i="1"/>
  <c r="H15" i="1"/>
  <c r="K15" i="1"/>
  <c r="J15" i="1"/>
  <c r="T16" i="1"/>
  <c r="S16" i="6" s="1"/>
  <c r="R16" i="1"/>
  <c r="Q16" i="6" s="1"/>
  <c r="Q16" i="1"/>
  <c r="P16" i="6" s="1"/>
  <c r="S16" i="1"/>
  <c r="R16" i="6" s="1"/>
  <c r="L15" i="11"/>
  <c r="C15" i="9"/>
  <c r="C15" i="6"/>
  <c r="R14" i="11"/>
  <c r="C15" i="7"/>
  <c r="C14" i="1"/>
  <c r="D14" i="4"/>
  <c r="C15" i="5"/>
  <c r="C15" i="18" s="1"/>
  <c r="C14" i="3"/>
  <c r="D14" i="1"/>
  <c r="C14" i="4"/>
  <c r="D14" i="3"/>
  <c r="D15" i="5"/>
  <c r="E16" i="7"/>
  <c r="X16" i="10"/>
  <c r="P15" i="9"/>
  <c r="H15" i="9"/>
  <c r="G16" i="6"/>
  <c r="J16" i="6"/>
  <c r="K16" i="6"/>
  <c r="H16" i="6"/>
  <c r="I16" i="6"/>
  <c r="E16" i="9"/>
  <c r="Y16" i="10"/>
  <c r="O15" i="6"/>
  <c r="P16" i="18"/>
  <c r="D16" i="18"/>
  <c r="E16" i="18"/>
  <c r="P15" i="7"/>
  <c r="E16" i="6"/>
  <c r="W16" i="10"/>
  <c r="O11" i="2"/>
  <c r="Q12" i="2"/>
  <c r="P11" i="2"/>
  <c r="H16" i="18"/>
  <c r="G15" i="7"/>
  <c r="D15" i="7"/>
  <c r="H15" i="7"/>
  <c r="D15" i="9"/>
  <c r="D15" i="6"/>
  <c r="V16" i="7"/>
  <c r="S16" i="7"/>
  <c r="T16" i="7"/>
  <c r="Q16" i="7"/>
  <c r="R16" i="7"/>
  <c r="U16" i="6"/>
  <c r="T16" i="10" l="1"/>
  <c r="U16" i="10"/>
  <c r="B14" i="10"/>
  <c r="P14" i="10" s="1"/>
  <c r="C14" i="10"/>
  <c r="Q14" i="10" s="1"/>
  <c r="P13" i="1"/>
  <c r="H13" i="4"/>
  <c r="Q13" i="4"/>
  <c r="E13" i="4"/>
  <c r="G13" i="4"/>
  <c r="G13" i="9" s="1"/>
  <c r="Q14" i="5"/>
  <c r="H14" i="5"/>
  <c r="K13" i="10"/>
  <c r="Q13" i="3"/>
  <c r="J12" i="11"/>
  <c r="T12" i="11" s="1"/>
  <c r="E14" i="5"/>
  <c r="H13" i="3"/>
  <c r="G13" i="3"/>
  <c r="G14" i="5"/>
  <c r="G14" i="18" s="1"/>
  <c r="I13" i="10"/>
  <c r="E13" i="1"/>
  <c r="J13" i="10"/>
  <c r="G13" i="1"/>
  <c r="E13" i="3"/>
  <c r="V14" i="1"/>
  <c r="W14" i="1"/>
  <c r="I14" i="1"/>
  <c r="K14" i="1"/>
  <c r="H14" i="1"/>
  <c r="J14" i="1"/>
  <c r="J14" i="4"/>
  <c r="J14" i="9" s="1"/>
  <c r="L14" i="4"/>
  <c r="L14" i="9" s="1"/>
  <c r="K14" i="4"/>
  <c r="K14" i="9" s="1"/>
  <c r="I14" i="4"/>
  <c r="I14" i="9" s="1"/>
  <c r="T14" i="4"/>
  <c r="S14" i="9" s="1"/>
  <c r="S14" i="4"/>
  <c r="R14" i="9" s="1"/>
  <c r="R14" i="4"/>
  <c r="Q14" i="9" s="1"/>
  <c r="U14" i="4"/>
  <c r="T14" i="9" s="1"/>
  <c r="R14" i="3"/>
  <c r="S14" i="3"/>
  <c r="U14" i="3"/>
  <c r="T14" i="3"/>
  <c r="J15" i="5"/>
  <c r="J15" i="18" s="1"/>
  <c r="I15" i="5"/>
  <c r="I15" i="18" s="1"/>
  <c r="L15" i="5"/>
  <c r="L15" i="18" s="1"/>
  <c r="K15" i="5"/>
  <c r="K15" i="18" s="1"/>
  <c r="I14" i="3"/>
  <c r="I14" i="7" s="1"/>
  <c r="J14" i="3"/>
  <c r="J14" i="7" s="1"/>
  <c r="L14" i="3"/>
  <c r="L14" i="7" s="1"/>
  <c r="K14" i="3"/>
  <c r="K14" i="7" s="1"/>
  <c r="T15" i="5"/>
  <c r="S15" i="18" s="1"/>
  <c r="S15" i="5"/>
  <c r="R15" i="18" s="1"/>
  <c r="U15" i="5"/>
  <c r="T15" i="18" s="1"/>
  <c r="R15" i="5"/>
  <c r="Q15" i="18" s="1"/>
  <c r="R15" i="1"/>
  <c r="Q15" i="6" s="1"/>
  <c r="S15" i="1"/>
  <c r="R15" i="6" s="1"/>
  <c r="Q15" i="1"/>
  <c r="P15" i="6" s="1"/>
  <c r="T15" i="1"/>
  <c r="S15" i="6" s="1"/>
  <c r="L14" i="11"/>
  <c r="C14" i="7"/>
  <c r="C14" i="9"/>
  <c r="C14" i="6"/>
  <c r="E15" i="6"/>
  <c r="W15" i="10"/>
  <c r="E15" i="9"/>
  <c r="Y15" i="10"/>
  <c r="C14" i="5"/>
  <c r="C14" i="18" s="1"/>
  <c r="D13" i="1"/>
  <c r="C13" i="3"/>
  <c r="D13" i="4"/>
  <c r="C13" i="1"/>
  <c r="D14" i="5"/>
  <c r="C13" i="4"/>
  <c r="D13" i="3"/>
  <c r="V15" i="7"/>
  <c r="S15" i="7"/>
  <c r="T15" i="7"/>
  <c r="Q15" i="7"/>
  <c r="R15" i="7"/>
  <c r="U15" i="6"/>
  <c r="D15" i="18"/>
  <c r="E15" i="18"/>
  <c r="P14" i="9"/>
  <c r="D14" i="9"/>
  <c r="G15" i="6"/>
  <c r="K15" i="6"/>
  <c r="J15" i="6"/>
  <c r="H15" i="6"/>
  <c r="I15" i="6"/>
  <c r="H15" i="18"/>
  <c r="P14" i="7"/>
  <c r="H14" i="7"/>
  <c r="O14" i="6"/>
  <c r="H14" i="9"/>
  <c r="D14" i="6"/>
  <c r="E15" i="7"/>
  <c r="X15" i="10"/>
  <c r="O10" i="2"/>
  <c r="P10" i="2"/>
  <c r="Q11" i="2"/>
  <c r="G14" i="7"/>
  <c r="D14" i="7"/>
  <c r="P15" i="18"/>
  <c r="U15" i="10" l="1"/>
  <c r="T15" i="10"/>
  <c r="C13" i="10"/>
  <c r="Q13" i="10" s="1"/>
  <c r="B13" i="10"/>
  <c r="P13" i="10" s="1"/>
  <c r="P12" i="1"/>
  <c r="Q12" i="4"/>
  <c r="H12" i="4"/>
  <c r="E12" i="4"/>
  <c r="G12" i="4"/>
  <c r="G12" i="9" s="1"/>
  <c r="Q13" i="5"/>
  <c r="Q12" i="3"/>
  <c r="K12" i="10"/>
  <c r="J11" i="11"/>
  <c r="T11" i="11" s="1"/>
  <c r="H13" i="5"/>
  <c r="H12" i="3"/>
  <c r="E13" i="5"/>
  <c r="E12" i="1"/>
  <c r="G13" i="5"/>
  <c r="G13" i="18" s="1"/>
  <c r="G12" i="3"/>
  <c r="J12" i="10"/>
  <c r="E12" i="3"/>
  <c r="I12" i="10"/>
  <c r="G12" i="1"/>
  <c r="W13" i="1"/>
  <c r="V13" i="1"/>
  <c r="R13" i="4"/>
  <c r="Q13" i="9" s="1"/>
  <c r="U13" i="4"/>
  <c r="T13" i="9" s="1"/>
  <c r="S13" i="4"/>
  <c r="R13" i="9" s="1"/>
  <c r="T13" i="4"/>
  <c r="S13" i="9" s="1"/>
  <c r="K13" i="3"/>
  <c r="K13" i="7" s="1"/>
  <c r="J13" i="3"/>
  <c r="J13" i="7" s="1"/>
  <c r="L13" i="3"/>
  <c r="L13" i="7" s="1"/>
  <c r="I13" i="3"/>
  <c r="I13" i="7" s="1"/>
  <c r="T14" i="5"/>
  <c r="S14" i="18" s="1"/>
  <c r="R14" i="5"/>
  <c r="Q14" i="18" s="1"/>
  <c r="S14" i="5"/>
  <c r="R14" i="18" s="1"/>
  <c r="U14" i="5"/>
  <c r="T14" i="18" s="1"/>
  <c r="J14" i="5"/>
  <c r="J14" i="18" s="1"/>
  <c r="I14" i="5"/>
  <c r="I14" i="18" s="1"/>
  <c r="L14" i="5"/>
  <c r="L14" i="18" s="1"/>
  <c r="K14" i="5"/>
  <c r="K14" i="18" s="1"/>
  <c r="S13" i="3"/>
  <c r="R13" i="3"/>
  <c r="T13" i="3"/>
  <c r="U13" i="3"/>
  <c r="J13" i="4"/>
  <c r="J13" i="9" s="1"/>
  <c r="I13" i="4"/>
  <c r="I13" i="9" s="1"/>
  <c r="L13" i="4"/>
  <c r="L13" i="9" s="1"/>
  <c r="K13" i="4"/>
  <c r="K13" i="9" s="1"/>
  <c r="I13" i="1"/>
  <c r="H13" i="1"/>
  <c r="K13" i="1"/>
  <c r="J13" i="1"/>
  <c r="S14" i="1"/>
  <c r="R14" i="6" s="1"/>
  <c r="T14" i="1"/>
  <c r="S14" i="6" s="1"/>
  <c r="R14" i="1"/>
  <c r="Q14" i="6" s="1"/>
  <c r="Q14" i="1"/>
  <c r="P14" i="6" s="1"/>
  <c r="R13" i="11"/>
  <c r="L13" i="11"/>
  <c r="C13" i="9"/>
  <c r="C13" i="6"/>
  <c r="L12" i="11"/>
  <c r="C13" i="7"/>
  <c r="E14" i="7"/>
  <c r="X14" i="10"/>
  <c r="P9" i="2"/>
  <c r="Q10" i="2"/>
  <c r="O9" i="2"/>
  <c r="D13" i="7"/>
  <c r="G13" i="7"/>
  <c r="P13" i="9"/>
  <c r="G14" i="6"/>
  <c r="K14" i="6"/>
  <c r="J14" i="6"/>
  <c r="I14" i="6"/>
  <c r="H14" i="6"/>
  <c r="E14" i="9"/>
  <c r="Y14" i="10"/>
  <c r="H13" i="7"/>
  <c r="D13" i="9"/>
  <c r="H14" i="18"/>
  <c r="O13" i="6"/>
  <c r="C12" i="4"/>
  <c r="C13" i="5"/>
  <c r="C13" i="18" s="1"/>
  <c r="D12" i="1"/>
  <c r="D13" i="5"/>
  <c r="C12" i="1"/>
  <c r="C12" i="3"/>
  <c r="D12" i="3"/>
  <c r="D12" i="4"/>
  <c r="E14" i="6"/>
  <c r="W14" i="10"/>
  <c r="U14" i="6"/>
  <c r="P14" i="18"/>
  <c r="D13" i="6"/>
  <c r="V14" i="7"/>
  <c r="T14" i="7"/>
  <c r="R14" i="7"/>
  <c r="Q14" i="7"/>
  <c r="S14" i="7"/>
  <c r="D14" i="18"/>
  <c r="E14" i="18"/>
  <c r="P13" i="7"/>
  <c r="H13" i="9"/>
  <c r="T14" i="10" l="1"/>
  <c r="U14" i="10"/>
  <c r="U13" i="10"/>
  <c r="T13" i="10"/>
  <c r="B12" i="10"/>
  <c r="P12" i="10" s="1"/>
  <c r="C12" i="10"/>
  <c r="Q12" i="10" s="1"/>
  <c r="W12" i="1"/>
  <c r="V12" i="1"/>
  <c r="P11" i="1"/>
  <c r="H11" i="4"/>
  <c r="Q11" i="4"/>
  <c r="G11" i="4"/>
  <c r="G11" i="9" s="1"/>
  <c r="E11" i="4"/>
  <c r="Q12" i="5"/>
  <c r="K11" i="10"/>
  <c r="Q11" i="3"/>
  <c r="H12" i="5"/>
  <c r="J10" i="11"/>
  <c r="T10" i="11" s="1"/>
  <c r="E12" i="5"/>
  <c r="E11" i="1"/>
  <c r="H11" i="3"/>
  <c r="G12" i="5"/>
  <c r="G12" i="18" s="1"/>
  <c r="I11" i="10"/>
  <c r="G11" i="1"/>
  <c r="E11" i="3"/>
  <c r="J11" i="10"/>
  <c r="G11" i="3"/>
  <c r="J13" i="5"/>
  <c r="J13" i="18" s="1"/>
  <c r="I13" i="5"/>
  <c r="I13" i="18" s="1"/>
  <c r="L13" i="5"/>
  <c r="L13" i="18" s="1"/>
  <c r="K13" i="5"/>
  <c r="K13" i="18" s="1"/>
  <c r="J12" i="3"/>
  <c r="J12" i="7" s="1"/>
  <c r="I12" i="3"/>
  <c r="I12" i="7" s="1"/>
  <c r="L12" i="3"/>
  <c r="L12" i="7" s="1"/>
  <c r="K12" i="3"/>
  <c r="K12" i="7" s="1"/>
  <c r="R13" i="5"/>
  <c r="Q13" i="18" s="1"/>
  <c r="T13" i="5"/>
  <c r="S13" i="18" s="1"/>
  <c r="S13" i="5"/>
  <c r="R13" i="18" s="1"/>
  <c r="U13" i="5"/>
  <c r="T13" i="18" s="1"/>
  <c r="J12" i="4"/>
  <c r="J12" i="9" s="1"/>
  <c r="I12" i="4"/>
  <c r="I12" i="9" s="1"/>
  <c r="K12" i="4"/>
  <c r="K12" i="9" s="1"/>
  <c r="L12" i="4"/>
  <c r="L12" i="9" s="1"/>
  <c r="S12" i="4"/>
  <c r="R12" i="9" s="1"/>
  <c r="R12" i="4"/>
  <c r="Q12" i="9" s="1"/>
  <c r="T12" i="4"/>
  <c r="S12" i="9" s="1"/>
  <c r="U12" i="4"/>
  <c r="T12" i="9" s="1"/>
  <c r="I12" i="1"/>
  <c r="K12" i="1"/>
  <c r="H12" i="1"/>
  <c r="J12" i="1"/>
  <c r="S12" i="3"/>
  <c r="T12" i="3"/>
  <c r="R12" i="3"/>
  <c r="U12" i="3"/>
  <c r="R13" i="1"/>
  <c r="Q13" i="6" s="1"/>
  <c r="Q13" i="1"/>
  <c r="P13" i="6" s="1"/>
  <c r="T13" i="1"/>
  <c r="S13" i="6" s="1"/>
  <c r="S13" i="1"/>
  <c r="R13" i="6" s="1"/>
  <c r="R12" i="11"/>
  <c r="C12" i="9"/>
  <c r="C12" i="7"/>
  <c r="C12" i="6"/>
  <c r="V13" i="7"/>
  <c r="S13" i="7"/>
  <c r="T13" i="7"/>
  <c r="Q13" i="7"/>
  <c r="R13" i="7"/>
  <c r="G13" i="6"/>
  <c r="H13" i="6"/>
  <c r="K13" i="6"/>
  <c r="J13" i="6"/>
  <c r="I13" i="6"/>
  <c r="D12" i="6"/>
  <c r="U13" i="6"/>
  <c r="E13" i="9"/>
  <c r="Y13" i="10"/>
  <c r="P8" i="2"/>
  <c r="O8" i="2"/>
  <c r="Q8" i="2" s="1"/>
  <c r="Q9" i="2"/>
  <c r="E13" i="6"/>
  <c r="W13" i="10"/>
  <c r="O12" i="6"/>
  <c r="P12" i="9"/>
  <c r="H12" i="9"/>
  <c r="P12" i="7"/>
  <c r="D12" i="9"/>
  <c r="G12" i="7"/>
  <c r="D12" i="7"/>
  <c r="P13" i="18"/>
  <c r="H13" i="18"/>
  <c r="E13" i="7"/>
  <c r="X13" i="10"/>
  <c r="E13" i="18"/>
  <c r="D13" i="18"/>
  <c r="H12" i="7"/>
  <c r="C11" i="1"/>
  <c r="C11" i="3"/>
  <c r="D12" i="5"/>
  <c r="D11" i="3"/>
  <c r="D11" i="4"/>
  <c r="C11" i="4"/>
  <c r="C12" i="5"/>
  <c r="C12" i="18" s="1"/>
  <c r="D11" i="1"/>
  <c r="B11" i="10" l="1"/>
  <c r="P11" i="10" s="1"/>
  <c r="C11" i="10"/>
  <c r="Q11" i="10" s="1"/>
  <c r="P9" i="1"/>
  <c r="D9" i="4"/>
  <c r="Q9" i="4"/>
  <c r="H9" i="4"/>
  <c r="E9" i="4"/>
  <c r="G9" i="4"/>
  <c r="G9" i="9" s="1"/>
  <c r="J8" i="11"/>
  <c r="T8" i="11" s="1"/>
  <c r="K9" i="10"/>
  <c r="Q9" i="3"/>
  <c r="Q10" i="5"/>
  <c r="H10" i="5"/>
  <c r="H9" i="3"/>
  <c r="E10" i="5"/>
  <c r="I9" i="10"/>
  <c r="G10" i="5"/>
  <c r="G10" i="18" s="1"/>
  <c r="J9" i="10"/>
  <c r="G9" i="3"/>
  <c r="G9" i="1"/>
  <c r="E9" i="1"/>
  <c r="E9" i="3"/>
  <c r="V11" i="1"/>
  <c r="W11" i="1"/>
  <c r="P10" i="1"/>
  <c r="Q10" i="4"/>
  <c r="H10" i="4"/>
  <c r="G10" i="4"/>
  <c r="G10" i="9" s="1"/>
  <c r="E10" i="4"/>
  <c r="H11" i="5"/>
  <c r="K10" i="10"/>
  <c r="Q10" i="3"/>
  <c r="Q11" i="5"/>
  <c r="J9" i="11"/>
  <c r="T9" i="11" s="1"/>
  <c r="G11" i="5"/>
  <c r="G11" i="18" s="1"/>
  <c r="E10" i="1"/>
  <c r="H10" i="3"/>
  <c r="E11" i="5"/>
  <c r="G10" i="3"/>
  <c r="E10" i="3"/>
  <c r="J10" i="10"/>
  <c r="G10" i="1"/>
  <c r="I10" i="10"/>
  <c r="H11" i="1"/>
  <c r="K11" i="1"/>
  <c r="J11" i="1"/>
  <c r="I11" i="1"/>
  <c r="J12" i="5"/>
  <c r="J12" i="18" s="1"/>
  <c r="I12" i="5"/>
  <c r="I12" i="18" s="1"/>
  <c r="L12" i="5"/>
  <c r="L12" i="18" s="1"/>
  <c r="K12" i="5"/>
  <c r="K12" i="18" s="1"/>
  <c r="J11" i="4"/>
  <c r="J11" i="9" s="1"/>
  <c r="L11" i="4"/>
  <c r="L11" i="9" s="1"/>
  <c r="I11" i="4"/>
  <c r="I11" i="9" s="1"/>
  <c r="K11" i="4"/>
  <c r="K11" i="9" s="1"/>
  <c r="T12" i="5"/>
  <c r="S12" i="18" s="1"/>
  <c r="U12" i="5"/>
  <c r="T12" i="18" s="1"/>
  <c r="S12" i="5"/>
  <c r="R12" i="18" s="1"/>
  <c r="R12" i="5"/>
  <c r="Q12" i="18" s="1"/>
  <c r="I11" i="3"/>
  <c r="I11" i="7" s="1"/>
  <c r="J11" i="3"/>
  <c r="J11" i="7" s="1"/>
  <c r="L11" i="3"/>
  <c r="L11" i="7" s="1"/>
  <c r="K11" i="3"/>
  <c r="K11" i="7" s="1"/>
  <c r="S11" i="3"/>
  <c r="T11" i="3"/>
  <c r="R11" i="3"/>
  <c r="Q11" i="7" s="1"/>
  <c r="U11" i="3"/>
  <c r="T11" i="4"/>
  <c r="S11" i="9" s="1"/>
  <c r="U11" i="4"/>
  <c r="T11" i="9" s="1"/>
  <c r="S11" i="4"/>
  <c r="R11" i="9" s="1"/>
  <c r="R11" i="4"/>
  <c r="Q11" i="9" s="1"/>
  <c r="R12" i="1"/>
  <c r="Q12" i="6" s="1"/>
  <c r="T12" i="1"/>
  <c r="S12" i="6" s="1"/>
  <c r="S12" i="1"/>
  <c r="R12" i="6" s="1"/>
  <c r="Q12" i="1"/>
  <c r="P12" i="6" s="1"/>
  <c r="L11" i="11"/>
  <c r="R11" i="11"/>
  <c r="C11" i="9"/>
  <c r="C11" i="7"/>
  <c r="C11" i="6"/>
  <c r="R10" i="11"/>
  <c r="D12" i="18"/>
  <c r="E12" i="18"/>
  <c r="V12" i="7"/>
  <c r="R12" i="7"/>
  <c r="S12" i="7"/>
  <c r="T12" i="7"/>
  <c r="Q12" i="7"/>
  <c r="C9" i="1"/>
  <c r="D9" i="1"/>
  <c r="D9" i="3"/>
  <c r="C10" i="5"/>
  <c r="D10" i="5"/>
  <c r="C9" i="3"/>
  <c r="C9" i="4"/>
  <c r="G12" i="6"/>
  <c r="J12" i="6"/>
  <c r="I12" i="6"/>
  <c r="H12" i="6"/>
  <c r="K12" i="6"/>
  <c r="H12" i="18"/>
  <c r="P11" i="7"/>
  <c r="P11" i="9"/>
  <c r="G11" i="7"/>
  <c r="D11" i="7"/>
  <c r="O11" i="6"/>
  <c r="E12" i="7"/>
  <c r="X12" i="10"/>
  <c r="D10" i="1"/>
  <c r="D10" i="3"/>
  <c r="C10" i="4"/>
  <c r="C11" i="5"/>
  <c r="C11" i="18" s="1"/>
  <c r="C10" i="3"/>
  <c r="D10" i="4"/>
  <c r="C10" i="1"/>
  <c r="D11" i="5"/>
  <c r="D11" i="6"/>
  <c r="D11" i="9"/>
  <c r="P12" i="18"/>
  <c r="E12" i="9"/>
  <c r="Y12" i="10"/>
  <c r="U12" i="6"/>
  <c r="E12" i="6"/>
  <c r="W12" i="10"/>
  <c r="H11" i="9"/>
  <c r="H11" i="7"/>
  <c r="T12" i="10" l="1"/>
  <c r="U12" i="10"/>
  <c r="C9" i="10"/>
  <c r="B9" i="10"/>
  <c r="P9" i="10" s="1"/>
  <c r="B10" i="10"/>
  <c r="P10" i="10" s="1"/>
  <c r="C10" i="10"/>
  <c r="Q10" i="10" s="1"/>
  <c r="V10" i="1"/>
  <c r="W10" i="1"/>
  <c r="W9" i="1"/>
  <c r="V9" i="1"/>
  <c r="Q9" i="10"/>
  <c r="D67" i="19"/>
  <c r="D68" i="19" s="1"/>
  <c r="D11" i="19"/>
  <c r="D12" i="19" s="1"/>
  <c r="E11" i="19"/>
  <c r="E12" i="19" s="1"/>
  <c r="J9" i="1"/>
  <c r="I9" i="1"/>
  <c r="F11" i="19"/>
  <c r="F12" i="19" s="1"/>
  <c r="H9" i="1"/>
  <c r="K9" i="1"/>
  <c r="S11" i="5"/>
  <c r="R11" i="18" s="1"/>
  <c r="R11" i="5"/>
  <c r="Q11" i="18" s="1"/>
  <c r="U11" i="5"/>
  <c r="T11" i="18" s="1"/>
  <c r="T11" i="5"/>
  <c r="S11" i="18" s="1"/>
  <c r="K10" i="5"/>
  <c r="I27" i="19" s="1"/>
  <c r="I28" i="19" s="1"/>
  <c r="J10" i="5"/>
  <c r="H27" i="19" s="1"/>
  <c r="H28" i="19" s="1"/>
  <c r="I10" i="5"/>
  <c r="G27" i="19" s="1"/>
  <c r="G28" i="19" s="1"/>
  <c r="L10" i="5"/>
  <c r="J27" i="19" s="1"/>
  <c r="J28" i="19" s="1"/>
  <c r="E29" i="19"/>
  <c r="E30" i="19" s="1"/>
  <c r="F29" i="19"/>
  <c r="F30" i="19" s="1"/>
  <c r="L9" i="3"/>
  <c r="K9" i="3"/>
  <c r="I9" i="3"/>
  <c r="F17" i="19"/>
  <c r="F18" i="19" s="1"/>
  <c r="E17" i="19"/>
  <c r="E18" i="19" s="1"/>
  <c r="J9" i="3"/>
  <c r="R10" i="5"/>
  <c r="T10" i="5"/>
  <c r="E87" i="19"/>
  <c r="E88" i="19" s="1"/>
  <c r="S10" i="5"/>
  <c r="F87" i="19"/>
  <c r="F88" i="19" s="1"/>
  <c r="U10" i="5"/>
  <c r="J11" i="5"/>
  <c r="J11" i="18" s="1"/>
  <c r="I11" i="5"/>
  <c r="I11" i="18" s="1"/>
  <c r="L11" i="5"/>
  <c r="L11" i="18" s="1"/>
  <c r="K11" i="5"/>
  <c r="K11" i="18" s="1"/>
  <c r="T10" i="4"/>
  <c r="S10" i="9" s="1"/>
  <c r="R10" i="4"/>
  <c r="Q10" i="9" s="1"/>
  <c r="U10" i="4"/>
  <c r="T10" i="9" s="1"/>
  <c r="S10" i="4"/>
  <c r="R10" i="9" s="1"/>
  <c r="D73" i="19"/>
  <c r="D74" i="19" s="1"/>
  <c r="D17" i="19"/>
  <c r="D18" i="19" s="1"/>
  <c r="D23" i="19"/>
  <c r="D24" i="19" s="1"/>
  <c r="D80" i="19"/>
  <c r="D81" i="19" s="1"/>
  <c r="F73" i="19"/>
  <c r="F74" i="19" s="1"/>
  <c r="E73" i="19"/>
  <c r="E74" i="19" s="1"/>
  <c r="U9" i="3"/>
  <c r="R9" i="3"/>
  <c r="T9" i="3"/>
  <c r="S9" i="3"/>
  <c r="E67" i="19"/>
  <c r="E68" i="19" s="1"/>
  <c r="F67" i="19"/>
  <c r="F68" i="19" s="1"/>
  <c r="K10" i="3"/>
  <c r="K10" i="7" s="1"/>
  <c r="J10" i="3"/>
  <c r="J10" i="7" s="1"/>
  <c r="L10" i="3"/>
  <c r="L10" i="7" s="1"/>
  <c r="I10" i="3"/>
  <c r="I10" i="7" s="1"/>
  <c r="I10" i="1"/>
  <c r="K10" i="1"/>
  <c r="H10" i="1"/>
  <c r="J10" i="1"/>
  <c r="D87" i="19"/>
  <c r="D88" i="19" s="1"/>
  <c r="D29" i="19"/>
  <c r="D30" i="19" s="1"/>
  <c r="N53" i="17"/>
  <c r="K9" i="4"/>
  <c r="E23" i="19"/>
  <c r="E24" i="19" s="1"/>
  <c r="I9" i="4"/>
  <c r="F23" i="19"/>
  <c r="F24" i="19" s="1"/>
  <c r="J9" i="4"/>
  <c r="L9" i="4"/>
  <c r="T9" i="4"/>
  <c r="S9" i="4"/>
  <c r="R9" i="4"/>
  <c r="F80" i="19"/>
  <c r="F81" i="19" s="1"/>
  <c r="E80" i="19"/>
  <c r="E81" i="19" s="1"/>
  <c r="U9" i="4"/>
  <c r="J10" i="4"/>
  <c r="J10" i="9" s="1"/>
  <c r="I10" i="4"/>
  <c r="I10" i="9" s="1"/>
  <c r="K10" i="4"/>
  <c r="K10" i="9" s="1"/>
  <c r="L10" i="4"/>
  <c r="L10" i="9" s="1"/>
  <c r="R10" i="3"/>
  <c r="T10" i="3"/>
  <c r="S10" i="3"/>
  <c r="U10" i="3"/>
  <c r="L10" i="11"/>
  <c r="T11" i="1"/>
  <c r="S11" i="6" s="1"/>
  <c r="Q11" i="1"/>
  <c r="P11" i="6" s="1"/>
  <c r="R11" i="1"/>
  <c r="Q11" i="6" s="1"/>
  <c r="S11" i="1"/>
  <c r="R11" i="6" s="1"/>
  <c r="B17" i="19"/>
  <c r="B18" i="19" s="1"/>
  <c r="B73" i="19"/>
  <c r="B74" i="19" s="1"/>
  <c r="B29" i="19"/>
  <c r="B30" i="19" s="1"/>
  <c r="B87" i="19"/>
  <c r="B88" i="19" s="1"/>
  <c r="C17" i="19"/>
  <c r="C18" i="19" s="1"/>
  <c r="C73" i="19"/>
  <c r="C74" i="19" s="1"/>
  <c r="B80" i="19"/>
  <c r="B81" i="19" s="1"/>
  <c r="B23" i="19"/>
  <c r="B24" i="19" s="1"/>
  <c r="C87" i="19"/>
  <c r="C88" i="19" s="1"/>
  <c r="C29" i="19"/>
  <c r="C30" i="19" s="1"/>
  <c r="B67" i="19"/>
  <c r="B68" i="19" s="1"/>
  <c r="B11" i="19"/>
  <c r="B12" i="19" s="1"/>
  <c r="C67" i="19"/>
  <c r="C68" i="19" s="1"/>
  <c r="C11" i="19"/>
  <c r="C12" i="19" s="1"/>
  <c r="C23" i="19"/>
  <c r="C24" i="19" s="1"/>
  <c r="C80" i="19"/>
  <c r="C81" i="19" s="1"/>
  <c r="C10" i="18"/>
  <c r="C10" i="6"/>
  <c r="L9" i="11"/>
  <c r="C10" i="7"/>
  <c r="C9" i="6"/>
  <c r="R8" i="11"/>
  <c r="C9" i="7"/>
  <c r="C10" i="9"/>
  <c r="C9" i="9"/>
  <c r="D11" i="18"/>
  <c r="E11" i="18"/>
  <c r="H10" i="9"/>
  <c r="H10" i="18"/>
  <c r="H9" i="9"/>
  <c r="P9" i="9"/>
  <c r="G11" i="6"/>
  <c r="I11" i="6"/>
  <c r="K11" i="6"/>
  <c r="J11" i="6"/>
  <c r="H11" i="6"/>
  <c r="P10" i="7"/>
  <c r="O10" i="6"/>
  <c r="G10" i="7"/>
  <c r="D10" i="7"/>
  <c r="D10" i="6"/>
  <c r="U11" i="6"/>
  <c r="E11" i="7"/>
  <c r="X11" i="10"/>
  <c r="D10" i="18"/>
  <c r="E10" i="18"/>
  <c r="O9" i="6"/>
  <c r="E11" i="6"/>
  <c r="W11" i="10"/>
  <c r="H11" i="18"/>
  <c r="H10" i="7"/>
  <c r="D9" i="9"/>
  <c r="H9" i="7"/>
  <c r="E11" i="9"/>
  <c r="Y11" i="10"/>
  <c r="P11" i="18"/>
  <c r="D10" i="9"/>
  <c r="P10" i="9"/>
  <c r="V11" i="7"/>
  <c r="S11" i="7"/>
  <c r="T11" i="7"/>
  <c r="R11" i="7"/>
  <c r="P10" i="18"/>
  <c r="P9" i="7"/>
  <c r="G9" i="7"/>
  <c r="D9" i="7"/>
  <c r="D9" i="6"/>
  <c r="R8" i="5" l="1"/>
  <c r="R8" i="4"/>
  <c r="T8" i="5"/>
  <c r="T10" i="10"/>
  <c r="U10" i="10"/>
  <c r="U11" i="10"/>
  <c r="T11" i="10"/>
  <c r="T8" i="4"/>
  <c r="S8" i="4"/>
  <c r="S8" i="5"/>
  <c r="S8" i="3"/>
  <c r="U8" i="4"/>
  <c r="T8" i="3"/>
  <c r="R8" i="3"/>
  <c r="U8" i="3"/>
  <c r="J73" i="19" s="1"/>
  <c r="U8" i="5"/>
  <c r="G29" i="19"/>
  <c r="G30" i="19" s="1"/>
  <c r="I10" i="18"/>
  <c r="G55" i="19" s="1"/>
  <c r="G56" i="19" s="1"/>
  <c r="J11" i="19"/>
  <c r="J12" i="19" s="1"/>
  <c r="I11" i="19"/>
  <c r="I12" i="19" s="1"/>
  <c r="G17" i="19"/>
  <c r="G18" i="19" s="1"/>
  <c r="G11" i="19"/>
  <c r="G12" i="19" s="1"/>
  <c r="H17" i="19"/>
  <c r="H18" i="19" s="1"/>
  <c r="I17" i="19"/>
  <c r="I18" i="19" s="1"/>
  <c r="J17" i="19"/>
  <c r="J18" i="19" s="1"/>
  <c r="H11" i="19"/>
  <c r="H12" i="19" s="1"/>
  <c r="K65" i="19"/>
  <c r="K66" i="19" s="1"/>
  <c r="K67" i="19"/>
  <c r="K68" i="19" s="1"/>
  <c r="F110" i="19"/>
  <c r="F111" i="19" s="1"/>
  <c r="E110" i="19"/>
  <c r="E111" i="19" s="1"/>
  <c r="F103" i="19"/>
  <c r="F104" i="19" s="1"/>
  <c r="E103" i="19"/>
  <c r="E104" i="19" s="1"/>
  <c r="F97" i="19"/>
  <c r="T9" i="1"/>
  <c r="S9" i="1"/>
  <c r="Q9" i="1"/>
  <c r="R9" i="1"/>
  <c r="R10" i="1"/>
  <c r="Q10" i="6" s="1"/>
  <c r="S10" i="1"/>
  <c r="R10" i="6" s="1"/>
  <c r="T10" i="1"/>
  <c r="S10" i="6" s="1"/>
  <c r="Q10" i="1"/>
  <c r="P10" i="6" s="1"/>
  <c r="J23" i="19"/>
  <c r="J24" i="19" s="1"/>
  <c r="I23" i="19"/>
  <c r="I24" i="19" s="1"/>
  <c r="H23" i="19"/>
  <c r="H24" i="19" s="1"/>
  <c r="C57" i="19"/>
  <c r="C58" i="19" s="1"/>
  <c r="C117" i="19"/>
  <c r="C118" i="19" s="1"/>
  <c r="E57" i="19"/>
  <c r="E58" i="19" s="1"/>
  <c r="F57" i="19"/>
  <c r="F58" i="19" s="1"/>
  <c r="H29" i="19"/>
  <c r="H30" i="19" s="1"/>
  <c r="C110" i="19"/>
  <c r="C111" i="19" s="1"/>
  <c r="C51" i="19"/>
  <c r="C52" i="19" s="1"/>
  <c r="E97" i="19"/>
  <c r="E98" i="19" s="1"/>
  <c r="C103" i="19"/>
  <c r="C104" i="19" s="1"/>
  <c r="C45" i="19"/>
  <c r="C46" i="19" s="1"/>
  <c r="E117" i="19"/>
  <c r="E118" i="19" s="1"/>
  <c r="F117" i="19"/>
  <c r="F118" i="19" s="1"/>
  <c r="E45" i="19"/>
  <c r="E46" i="19" s="1"/>
  <c r="F45" i="19"/>
  <c r="F46" i="19" s="1"/>
  <c r="D117" i="19"/>
  <c r="D118" i="19" s="1"/>
  <c r="D57" i="19"/>
  <c r="D58" i="19" s="1"/>
  <c r="F51" i="19"/>
  <c r="F52" i="19" s="1"/>
  <c r="E51" i="19"/>
  <c r="E52" i="19" s="1"/>
  <c r="B51" i="19"/>
  <c r="B52" i="19" s="1"/>
  <c r="B110" i="19"/>
  <c r="B111" i="19" s="1"/>
  <c r="B103" i="19"/>
  <c r="B104" i="19" s="1"/>
  <c r="B45" i="19"/>
  <c r="B46" i="19" s="1"/>
  <c r="I29" i="19"/>
  <c r="I30" i="19" s="1"/>
  <c r="C39" i="19"/>
  <c r="C40" i="19" s="1"/>
  <c r="C97" i="19"/>
  <c r="C98" i="19" s="1"/>
  <c r="B117" i="19"/>
  <c r="B118" i="19" s="1"/>
  <c r="B57" i="19"/>
  <c r="B58" i="19" s="1"/>
  <c r="B97" i="19"/>
  <c r="B98" i="19" s="1"/>
  <c r="B39" i="19"/>
  <c r="B40" i="19" s="1"/>
  <c r="G23" i="19"/>
  <c r="G24" i="19" s="1"/>
  <c r="J29" i="19"/>
  <c r="J30" i="19" s="1"/>
  <c r="R9" i="11"/>
  <c r="L9" i="9"/>
  <c r="J51" i="19" s="1"/>
  <c r="J52" i="19" s="1"/>
  <c r="I9" i="7"/>
  <c r="G45" i="19" s="1"/>
  <c r="G46" i="19" s="1"/>
  <c r="K9" i="7"/>
  <c r="I45" i="19" s="1"/>
  <c r="I46" i="19" s="1"/>
  <c r="I9" i="9"/>
  <c r="G51" i="19" s="1"/>
  <c r="G52" i="19" s="1"/>
  <c r="L10" i="18"/>
  <c r="J9" i="7"/>
  <c r="H45" i="19" s="1"/>
  <c r="H46" i="19" s="1"/>
  <c r="J10" i="18"/>
  <c r="K9" i="9"/>
  <c r="I51" i="19" s="1"/>
  <c r="I52" i="19" s="1"/>
  <c r="K10" i="18"/>
  <c r="L9" i="7"/>
  <c r="J45" i="19" s="1"/>
  <c r="J46" i="19" s="1"/>
  <c r="J9" i="9"/>
  <c r="H51" i="19" s="1"/>
  <c r="H52" i="19" s="1"/>
  <c r="L8" i="11"/>
  <c r="R10" i="18"/>
  <c r="R8" i="18" s="1"/>
  <c r="T9" i="9"/>
  <c r="T8" i="9" s="1"/>
  <c r="Q10" i="18"/>
  <c r="Q8" i="18" s="1"/>
  <c r="R9" i="9"/>
  <c r="R8" i="9" s="1"/>
  <c r="S9" i="9"/>
  <c r="S8" i="9" s="1"/>
  <c r="T10" i="18"/>
  <c r="T8" i="18" s="1"/>
  <c r="S10" i="18"/>
  <c r="S8" i="18" s="1"/>
  <c r="Q9" i="9"/>
  <c r="Q8" i="9" s="1"/>
  <c r="G9" i="6"/>
  <c r="H9" i="6"/>
  <c r="E9" i="7"/>
  <c r="X9" i="10"/>
  <c r="V9" i="7"/>
  <c r="E9" i="6"/>
  <c r="W9" i="10"/>
  <c r="E10" i="9"/>
  <c r="Y10" i="10"/>
  <c r="E9" i="9"/>
  <c r="Y9" i="10"/>
  <c r="G10" i="6"/>
  <c r="I10" i="6"/>
  <c r="K10" i="6"/>
  <c r="J10" i="6"/>
  <c r="U10" i="6"/>
  <c r="V10" i="7"/>
  <c r="R10" i="7"/>
  <c r="Q10" i="7"/>
  <c r="T10" i="7"/>
  <c r="S10" i="7"/>
  <c r="U9" i="6"/>
  <c r="E10" i="6"/>
  <c r="W10" i="10"/>
  <c r="E10" i="7"/>
  <c r="X10" i="10"/>
  <c r="U9" i="10" l="1"/>
  <c r="T9" i="10"/>
  <c r="G57" i="19"/>
  <c r="G58" i="19" s="1"/>
  <c r="J71" i="19"/>
  <c r="H71" i="19"/>
  <c r="H73" i="19"/>
  <c r="I71" i="19"/>
  <c r="I73" i="19"/>
  <c r="H57" i="19"/>
  <c r="H58" i="19" s="1"/>
  <c r="H55" i="19"/>
  <c r="H56" i="19" s="1"/>
  <c r="I57" i="19"/>
  <c r="I58" i="19" s="1"/>
  <c r="I55" i="19"/>
  <c r="I56" i="19" s="1"/>
  <c r="J57" i="19"/>
  <c r="J58" i="19" s="1"/>
  <c r="J55" i="19"/>
  <c r="J56" i="19" s="1"/>
  <c r="H67" i="19"/>
  <c r="K101" i="19"/>
  <c r="K102" i="19" s="1"/>
  <c r="K103" i="19"/>
  <c r="K104" i="19" s="1"/>
  <c r="J67" i="19"/>
  <c r="K95" i="19"/>
  <c r="K96" i="19" s="1"/>
  <c r="K97" i="19"/>
  <c r="K98" i="19" s="1"/>
  <c r="I67" i="19"/>
  <c r="J117" i="19"/>
  <c r="J118" i="19" s="1"/>
  <c r="J115" i="19"/>
  <c r="I117" i="19"/>
  <c r="I118" i="19" s="1"/>
  <c r="I115" i="19"/>
  <c r="G117" i="19"/>
  <c r="G118" i="19" s="1"/>
  <c r="G115" i="19"/>
  <c r="H117" i="19"/>
  <c r="H118" i="19" s="1"/>
  <c r="H115" i="19"/>
  <c r="I108" i="19"/>
  <c r="I110" i="19"/>
  <c r="I111" i="19" s="1"/>
  <c r="G108" i="19"/>
  <c r="G110" i="19"/>
  <c r="G111" i="19" s="1"/>
  <c r="H108" i="19"/>
  <c r="H110" i="19"/>
  <c r="H111" i="19" s="1"/>
  <c r="J110" i="19"/>
  <c r="J111" i="19" s="1"/>
  <c r="J108" i="19"/>
  <c r="J87" i="19"/>
  <c r="J88" i="19" s="1"/>
  <c r="J85" i="19"/>
  <c r="F39" i="19"/>
  <c r="F40" i="19" s="1"/>
  <c r="E39" i="19"/>
  <c r="E40" i="19" s="1"/>
  <c r="D51" i="19"/>
  <c r="D52" i="19" s="1"/>
  <c r="D110" i="19"/>
  <c r="D111" i="19" s="1"/>
  <c r="D97" i="19"/>
  <c r="D98" i="19" s="1"/>
  <c r="D39" i="19"/>
  <c r="D40" i="19" s="1"/>
  <c r="G78" i="19"/>
  <c r="G80" i="19"/>
  <c r="G81" i="19" s="1"/>
  <c r="I87" i="19"/>
  <c r="I88" i="19" s="1"/>
  <c r="I85" i="19"/>
  <c r="H78" i="19"/>
  <c r="H80" i="19"/>
  <c r="H81" i="19" s="1"/>
  <c r="G85" i="19"/>
  <c r="G87" i="19"/>
  <c r="G88" i="19" s="1"/>
  <c r="J78" i="19"/>
  <c r="J80" i="19"/>
  <c r="J81" i="19" s="1"/>
  <c r="H87" i="19"/>
  <c r="H88" i="19" s="1"/>
  <c r="H85" i="19"/>
  <c r="I80" i="19"/>
  <c r="I81" i="19" s="1"/>
  <c r="I78" i="19"/>
  <c r="D45" i="19"/>
  <c r="D46" i="19" s="1"/>
  <c r="D103" i="19"/>
  <c r="D104" i="19" s="1"/>
  <c r="I9" i="6"/>
  <c r="H39" i="19" s="1"/>
  <c r="H40" i="19" s="1"/>
  <c r="J9" i="6"/>
  <c r="I39" i="19" s="1"/>
  <c r="I40" i="19" s="1"/>
  <c r="H10" i="6"/>
  <c r="G39" i="19" s="1"/>
  <c r="G40" i="19" s="1"/>
  <c r="K9" i="6"/>
  <c r="J39" i="19" s="1"/>
  <c r="J40" i="19" s="1"/>
  <c r="R9" i="6"/>
  <c r="R8" i="6" s="1"/>
  <c r="Q9" i="6"/>
  <c r="Q8" i="6" s="1"/>
  <c r="P9" i="6"/>
  <c r="P8" i="6" s="1"/>
  <c r="S9" i="6"/>
  <c r="S8" i="6" s="1"/>
  <c r="Q9" i="7"/>
  <c r="T9" i="7"/>
  <c r="S9" i="7"/>
  <c r="R9" i="7"/>
  <c r="I95" i="19" l="1"/>
  <c r="I97" i="19"/>
  <c r="I98" i="19" s="1"/>
  <c r="G95" i="19"/>
  <c r="G96" i="19" s="1"/>
  <c r="G97" i="19"/>
  <c r="G98" i="19" s="1"/>
  <c r="G103" i="19"/>
  <c r="G104" i="19" s="1"/>
  <c r="J103" i="19"/>
  <c r="J104" i="19" s="1"/>
  <c r="H95" i="19"/>
  <c r="H97" i="19"/>
  <c r="H98" i="19" s="1"/>
  <c r="I103" i="19"/>
  <c r="I104" i="19" s="1"/>
  <c r="H103" i="19"/>
  <c r="H104" i="19" s="1"/>
  <c r="J95" i="19"/>
  <c r="J97" i="19"/>
  <c r="J98" i="19" s="1"/>
  <c r="G67" i="19"/>
  <c r="G68" i="19" s="1"/>
  <c r="G65" i="19"/>
  <c r="G66" i="19" s="1"/>
  <c r="F98" i="19"/>
  <c r="F96" i="19"/>
  <c r="I68" i="19"/>
  <c r="J74" i="19"/>
  <c r="H74" i="19"/>
  <c r="J68" i="19"/>
  <c r="G116" i="19"/>
  <c r="G86" i="19"/>
  <c r="H79" i="19"/>
  <c r="H109" i="19"/>
  <c r="G109" i="19"/>
  <c r="G79" i="19"/>
  <c r="I74" i="19"/>
  <c r="I116" i="19"/>
  <c r="I86" i="19"/>
  <c r="I79" i="19"/>
  <c r="I109" i="19"/>
  <c r="J79" i="19"/>
  <c r="J109" i="19"/>
  <c r="H86" i="19"/>
  <c r="H116" i="19"/>
  <c r="J116" i="19"/>
  <c r="J86" i="19"/>
  <c r="J96" i="19" l="1"/>
  <c r="J66" i="19"/>
  <c r="H72" i="19"/>
  <c r="H102" i="19"/>
  <c r="I96" i="19"/>
  <c r="I66" i="19"/>
  <c r="I102" i="19"/>
  <c r="I72" i="19"/>
  <c r="J102" i="19"/>
  <c r="J72" i="19"/>
  <c r="H66" i="19" l="1"/>
  <c r="H68" i="19"/>
  <c r="H96" i="19" l="1"/>
  <c r="G73" i="19" l="1"/>
  <c r="G74" i="19" s="1"/>
  <c r="G71" i="19"/>
  <c r="G72" i="19" s="1"/>
</calcChain>
</file>

<file path=xl/sharedStrings.xml><?xml version="1.0" encoding="utf-8"?>
<sst xmlns="http://schemas.openxmlformats.org/spreadsheetml/2006/main" count="1027" uniqueCount="554">
  <si>
    <t>Salaire journalier et code chiffré</t>
  </si>
  <si>
    <t xml:space="preserve">Dagloon en cijfercode </t>
  </si>
  <si>
    <t>dagloon  - salaire journalier</t>
  </si>
  <si>
    <t>code</t>
  </si>
  <si>
    <t>MIN</t>
  </si>
  <si>
    <t>A11</t>
  </si>
  <si>
    <t>A13</t>
  </si>
  <si>
    <t>A21</t>
  </si>
  <si>
    <t>A22</t>
  </si>
  <si>
    <t>A23</t>
  </si>
  <si>
    <t>A24</t>
  </si>
  <si>
    <t>B12
B1T</t>
  </si>
  <si>
    <t>B11</t>
  </si>
  <si>
    <t>B13</t>
  </si>
  <si>
    <t>B21</t>
  </si>
  <si>
    <t>B22</t>
  </si>
  <si>
    <t>B23</t>
  </si>
  <si>
    <t>B24</t>
  </si>
  <si>
    <t>A21
+ COMPL 126</t>
  </si>
  <si>
    <t>A22
+ COMPL 126</t>
  </si>
  <si>
    <t>A23
+ COMPL 126</t>
  </si>
  <si>
    <t>A24
+ COMPL 126</t>
  </si>
  <si>
    <t>N11</t>
  </si>
  <si>
    <t>N12
N1T</t>
  </si>
  <si>
    <t>N13</t>
  </si>
  <si>
    <t>N21</t>
  </si>
  <si>
    <t>N22</t>
  </si>
  <si>
    <t>N23</t>
  </si>
  <si>
    <t>N24</t>
  </si>
  <si>
    <t>N21
+ COMPL 126</t>
  </si>
  <si>
    <t>N22
+ COMPL 126</t>
  </si>
  <si>
    <t>N23
+ COMPL 126</t>
  </si>
  <si>
    <t>N24
+ COMPL 126</t>
  </si>
  <si>
    <t xml:space="preserve">Geldig/valable
</t>
  </si>
  <si>
    <t>Multiplicat(o)(eu)r</t>
  </si>
  <si>
    <t>Code</t>
  </si>
  <si>
    <t>60%+</t>
  </si>
  <si>
    <t>Forfait</t>
  </si>
  <si>
    <t>&gt;= 58</t>
  </si>
  <si>
    <t>B21
+ COMPL 126</t>
  </si>
  <si>
    <t>B22
+ COMPL 126</t>
  </si>
  <si>
    <t>B23
+ COMPL 126</t>
  </si>
  <si>
    <t>B24
+ COMPL 126</t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</si>
  <si>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</t>
    </r>
    <r>
      <rPr>
        <b/>
        <sz val="12"/>
        <color rgb="FFFF0000"/>
        <rFont val="Arial"/>
        <family val="2"/>
      </rPr>
      <t>alleenwonende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</si>
  <si>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niet 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</si>
  <si>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werknemer met  </t>
    </r>
    <r>
      <rPr>
        <b/>
        <sz val="12"/>
        <color rgb="FFFF0000"/>
        <rFont val="Arial"/>
        <family val="2"/>
      </rPr>
      <t>gezinslast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</si>
  <si>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</si>
  <si>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t>1e periode</t>
  </si>
  <si>
    <t>2e periode - zonder/sans ANC</t>
  </si>
  <si>
    <t>zonder/
sans ANC</t>
  </si>
  <si>
    <t>2e periode - met/avec ANC</t>
  </si>
  <si>
    <t>met/avec ANC</t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</si>
  <si>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avec </t>
    </r>
    <r>
      <rPr>
        <b/>
        <sz val="12"/>
        <color rgb="FFFF0000"/>
        <rFont val="Arial"/>
        <family val="2"/>
      </rPr>
      <t>charge de famille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</si>
  <si>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werknemer met  </t>
    </r>
    <r>
      <rPr>
        <b/>
        <sz val="12"/>
        <color rgb="FFFF0000"/>
        <rFont val="Arial"/>
        <family val="2"/>
      </rPr>
      <t>gezinslast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</si>
  <si>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isolé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</si>
  <si>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cohabitant non privilégié</t>
    </r>
    <r>
      <rPr>
        <b/>
        <sz val="12"/>
        <color rgb="FF0000FF"/>
        <rFont val="Arial"/>
        <family val="2"/>
      </rPr>
      <t xml:space="preserve"> </t>
    </r>
  </si>
  <si>
    <t>met/avec
ANC</t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</si>
  <si>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niet 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</si>
  <si>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 - travailleur </t>
    </r>
    <r>
      <rPr>
        <b/>
        <sz val="12"/>
        <color rgb="FFFF0000"/>
        <rFont val="Arial"/>
        <family val="2"/>
      </rPr>
      <t>cohabitant non privilégié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</si>
  <si>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cohabitant privilégié</t>
    </r>
    <r>
      <rPr>
        <b/>
        <sz val="12"/>
        <color rgb="FF0000FF"/>
        <rFont val="Arial"/>
        <family val="2"/>
      </rPr>
      <t xml:space="preserve"> </t>
    </r>
  </si>
  <si>
    <t>1e periode - zonder/sans ANC</t>
  </si>
  <si>
    <t>BEVOORR/PRIV</t>
  </si>
  <si>
    <t>BF
B29</t>
  </si>
  <si>
    <t>BF
B29
+ COMPL 126</t>
  </si>
  <si>
    <t>A6</t>
  </si>
  <si>
    <t>A10</t>
  </si>
  <si>
    <t>N10</t>
  </si>
  <si>
    <t>B10</t>
  </si>
  <si>
    <t>E
FA</t>
  </si>
  <si>
    <t>GN
FN</t>
  </si>
  <si>
    <t>GB
FB</t>
  </si>
  <si>
    <r>
      <t>Volledige werkloosheidsuitkeringen - dagbedrag van de</t>
    </r>
    <r>
      <rPr>
        <b/>
        <sz val="12"/>
        <color rgb="FF0000FF"/>
        <rFont val="Arial"/>
        <family val="2"/>
      </rPr>
      <t xml:space="preserve"> uitkering - speciale categorieën</t>
    </r>
  </si>
  <si>
    <r>
      <t>Allocations de chômage complet - montant journalier de l'allocation</t>
    </r>
    <r>
      <rPr>
        <b/>
        <sz val="12"/>
        <color rgb="FF0000FF"/>
        <rFont val="Arial"/>
        <family val="2"/>
      </rPr>
      <t xml:space="preserve"> - catégories spéciales</t>
    </r>
  </si>
  <si>
    <t>Verhoogde werkloosheids-
uitkeringen gedurende de periode van inschrijving in een tewerkstellingscel
Allocations de chômage majorées pendant la période d'inscription dans une cellule pour l'emploi</t>
  </si>
  <si>
    <t>Stelsel van werkloosheid met bedrijfstoeslag (voorheen brugpensioen)
Régime de chômage avec complément d'entreprise (auparavant prépension)</t>
  </si>
  <si>
    <r>
      <t>Tijdelijke werkloosheidsuitkeringen - dagbedrag van de</t>
    </r>
    <r>
      <rPr>
        <b/>
        <sz val="12"/>
        <color rgb="FF0000FF"/>
        <rFont val="Arial"/>
        <family val="2"/>
      </rPr>
      <t xml:space="preserve"> uitkering</t>
    </r>
  </si>
  <si>
    <t>Allocations de chômage temporaire - montant journalier de l'allocation</t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</si>
  <si>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/ Allocation </t>
    </r>
    <r>
      <rPr>
        <b/>
        <sz val="12"/>
        <color rgb="FFFF0000"/>
        <rFont val="Arial"/>
        <family val="2"/>
      </rPr>
      <t>entière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</si>
  <si>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/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</t>
    </r>
  </si>
  <si>
    <t>J/S</t>
  </si>
  <si>
    <t>Salaires horaires</t>
  </si>
  <si>
    <t>Q</t>
  </si>
  <si>
    <t>Uurlonen</t>
  </si>
  <si>
    <t>leeftijd / âge</t>
  </si>
  <si>
    <t xml:space="preserve"> WA3F WA7F</t>
  </si>
  <si>
    <t>//</t>
  </si>
  <si>
    <t xml:space="preserve">W =  </t>
  </si>
  <si>
    <t>inschakelingsuitkering</t>
  </si>
  <si>
    <t>allocation d'insertion</t>
  </si>
  <si>
    <t>I =</t>
  </si>
  <si>
    <t>inschakelingsuitkering "opleidingsuitkering"</t>
  </si>
  <si>
    <t>&lt; 18</t>
  </si>
  <si>
    <t xml:space="preserve">allocation d'insertion  "allocation de formation" </t>
  </si>
  <si>
    <t>T =</t>
  </si>
  <si>
    <t>overbruggingsuitkering - tijdelijk werkloze</t>
  </si>
  <si>
    <t>allocation de transition - chômeur temporaire</t>
  </si>
  <si>
    <t>Inschakelingsuitkeringen en gelijkgestelde</t>
  </si>
  <si>
    <t>Allocations d'insertion et assimilées</t>
  </si>
  <si>
    <t>Andere RVA-reglementering</t>
  </si>
  <si>
    <t xml:space="preserve">Autres réglementations ONEM </t>
  </si>
  <si>
    <t>&lt;=</t>
  </si>
  <si>
    <t>&gt;</t>
  </si>
  <si>
    <t>Opvanguitkering - allocation de garde</t>
  </si>
  <si>
    <t>Werkuitkering / Allocation de travail</t>
  </si>
  <si>
    <t>maximum maandbedrag - montant mensuel maximum</t>
  </si>
  <si>
    <t>500,00 X U/[Sx4]   (max. 500,00)</t>
  </si>
  <si>
    <t>SINE</t>
  </si>
  <si>
    <t xml:space="preserve">Nieuwe regeling (aanvang of wijziging arbeidsduur vanaf 2004) </t>
  </si>
  <si>
    <t>Nouveau régime (début ou changement du durée de travail à partir de 2004)</t>
  </si>
  <si>
    <t>CA/ ••1••••</t>
  </si>
  <si>
    <t>750,00 X Q/S   (max. 500,00)</t>
  </si>
  <si>
    <t>CA/ ••2••••</t>
  </si>
  <si>
    <t>Oude regeling (aanvang vóór 2004) / Ancien régime (début avant 2004)</t>
  </si>
  <si>
    <t>Activeringsuitkeringen - Allocations d'activation</t>
  </si>
  <si>
    <r>
      <t>&gt;</t>
    </r>
    <r>
      <rPr>
        <sz val="10"/>
        <rFont val="Arial"/>
        <family val="2"/>
      </rPr>
      <t xml:space="preserve"> 21</t>
    </r>
  </si>
  <si>
    <r>
      <t>&gt;</t>
    </r>
    <r>
      <rPr>
        <sz val="10"/>
        <rFont val="Arial"/>
        <family val="2"/>
      </rPr>
      <t xml:space="preserve"> 18 en &lt; 21</t>
    </r>
  </si>
  <si>
    <r>
      <t>&gt;</t>
    </r>
    <r>
      <rPr>
        <sz val="10"/>
        <rFont val="Arial"/>
        <family val="2"/>
      </rPr>
      <t xml:space="preserve"> 18</t>
    </r>
  </si>
  <si>
    <t>Employé du secteur privé ou contractuel du secteur public</t>
  </si>
  <si>
    <t>Bediende privésector of contractueel van de openbare sector</t>
  </si>
  <si>
    <t>(referteloon aan 100 % in EUR)</t>
  </si>
  <si>
    <t>R</t>
  </si>
  <si>
    <t>(montant de base du bonus en EUR)</t>
  </si>
  <si>
    <t>(salaire de référence à 100 % en EUR)</t>
  </si>
  <si>
    <t>(basisbedrag van de bonus in EUR)</t>
  </si>
  <si>
    <t>Pour le calcul de l'AGR: également d'application s'il s'agit d'un ouvrier</t>
  </si>
  <si>
    <t>&lt;</t>
  </si>
  <si>
    <t xml:space="preserve">x (S - </t>
  </si>
  <si>
    <t>))</t>
  </si>
  <si>
    <t xml:space="preserve">Voor de berekening van de IGU: ook van toepassing indien het een arbeider betreft </t>
  </si>
  <si>
    <t>Ouvrier du secteur privé ou contractuel du secteur public</t>
  </si>
  <si>
    <t>Arbeider privésector of contractueel van de openbare sector</t>
  </si>
  <si>
    <t xml:space="preserve">Pour le calcul d'autres montants nets de salaire d'un ouvrier </t>
  </si>
  <si>
    <t>(p.ex. pour vérifier si un emploi est convenable)</t>
  </si>
  <si>
    <t>Voor de berekening van andere nettoloonbedragen van een arbeider</t>
  </si>
  <si>
    <t xml:space="preserve">(bv. om na te gaan of een dienstbetrekking passend is)  </t>
  </si>
  <si>
    <t>Werkbonus</t>
  </si>
  <si>
    <t>Bonus à l'emploi</t>
  </si>
  <si>
    <r>
      <t xml:space="preserve">en </t>
    </r>
    <r>
      <rPr>
        <u/>
        <sz val="10"/>
        <rFont val="Arial"/>
        <family val="2"/>
      </rPr>
      <t>&lt;</t>
    </r>
  </si>
  <si>
    <t xml:space="preserve"> S</t>
  </si>
  <si>
    <t>Brutomaandloon
Salaire mensuel brut</t>
  </si>
  <si>
    <t>Maandbedrag toeslag
Montant mensuel indem</t>
  </si>
  <si>
    <t xml:space="preserve">Maandbedrag toeslag
Montant mensuel indem
</t>
  </si>
  <si>
    <t>Vol - Plein</t>
  </si>
  <si>
    <t>Half - Demi</t>
  </si>
  <si>
    <t>Dagbedrag - Montant journalier</t>
  </si>
  <si>
    <t>Bijzondere  bedragen werkloosheid</t>
  </si>
  <si>
    <t>Montants particuliers chômage</t>
  </si>
  <si>
    <t>art. 110</t>
  </si>
  <si>
    <t>art. 130bis</t>
  </si>
  <si>
    <t>Artikel - Article</t>
  </si>
  <si>
    <t>Uitleg - Explications</t>
  </si>
  <si>
    <t>&lt; 21 jaar/ans</t>
  </si>
  <si>
    <t>&gt;= 21 jaar/ans</t>
  </si>
  <si>
    <t>Refertemaandloon - Salaire mensuel de référence</t>
  </si>
  <si>
    <t>Gezinsinkomensgrens - Limite revenu ménage</t>
  </si>
  <si>
    <t>Verhoging per persoon ten laste - majoration par personne à charge</t>
  </si>
  <si>
    <t>Neutraliseerbaar loon werkloze - Salaire neutralisable chômeur</t>
  </si>
  <si>
    <t>Nadien - Ensuite</t>
  </si>
  <si>
    <t>Loongrens AY - Plafond salarial AY</t>
  </si>
  <si>
    <t>Loongrens AX - Plafond salarial AX</t>
  </si>
  <si>
    <t>Loongrens A - Plafond salarial A</t>
  </si>
  <si>
    <t>Loongrens B - Plafond salarial B</t>
  </si>
  <si>
    <t>Loongrens C - Plafond salarial C</t>
  </si>
  <si>
    <t>Beroepsinkomen kind - Revenu professionnel enfant</t>
  </si>
  <si>
    <t>Vervangingsinkomen - Revenu de remplacement</t>
  </si>
  <si>
    <t>Vervangingsinkomen kind - Revenu de remplacement enfant</t>
  </si>
  <si>
    <t>Gepensioneerd ascendent + kind - Ascendant pensionné + enfant</t>
  </si>
  <si>
    <t>Gepensioneerd ascendent - Ascendant pensionné</t>
  </si>
  <si>
    <t>Gehandicapt gepensioneerd ascendent - Ascendant pensionné handicapé</t>
  </si>
  <si>
    <t>Beroepsinkomen partner - Revenu professionnel conjoint</t>
  </si>
  <si>
    <t>Werkhervattingstoeslag - Complément de reprise de travail</t>
  </si>
  <si>
    <t>Tijdelijke werkhervattingstoeslag - Complément de reprise de travail temporaire</t>
  </si>
  <si>
    <t>dag/
jour</t>
  </si>
  <si>
    <t>maand/
mois</t>
  </si>
  <si>
    <t>jaar/
année</t>
  </si>
  <si>
    <t>maand 1-12</t>
  </si>
  <si>
    <t>maand 13-24</t>
  </si>
  <si>
    <t>maand 25-36</t>
  </si>
  <si>
    <t>N - alleenwonende - isolé</t>
  </si>
  <si>
    <t>A - samenwonende met gezinslast - cohabitant avec charge de famille</t>
  </si>
  <si>
    <t>B - samenwonende - cohabitant</t>
  </si>
  <si>
    <t>Kinderopvangtoeslag - Complément de garde d'enfants</t>
  </si>
  <si>
    <t>Bestaansmiddelen - Moyens d'existence</t>
  </si>
  <si>
    <t>art. 45bis, §2, al. 1, 3°</t>
  </si>
  <si>
    <t xml:space="preserve">Vrijwilligerswerk fiscale plafonds - Volontariat plafonds fiscaux </t>
  </si>
  <si>
    <t>Gemiddeld minimum maandinkomen - Revenu minimum mensuel moyen</t>
  </si>
  <si>
    <t xml:space="preserve">Langdurige werkloosheid - Chômage de longue durée </t>
  </si>
  <si>
    <t>art. 84, al. 1 + 3</t>
  </si>
  <si>
    <t>• 60, al. 2 MB - AM</t>
  </si>
  <si>
    <t>• 61, al. 2 MB - AM</t>
  </si>
  <si>
    <t>• 61, al. 3 MB - AM</t>
  </si>
  <si>
    <t>• 62, al. 1 MB - AM</t>
  </si>
  <si>
    <t>• 62, al. 2 MB - AM</t>
  </si>
  <si>
    <t>• 62, al. 3 MB - AM</t>
  </si>
  <si>
    <t>art. 111, al. 2</t>
  </si>
  <si>
    <t>art. 129bis, §1, al. 2</t>
  </si>
  <si>
    <t>art. 129ter, §1, al. 2</t>
  </si>
  <si>
    <t>art. 129bis, §1bis, al. 2</t>
  </si>
  <si>
    <t>art. 129ter, §1bis, al. 2</t>
  </si>
  <si>
    <t>art. 130, §2</t>
  </si>
  <si>
    <t>Vervangingsinkomen onthaalouder - Revenu de remplacement gardien</t>
  </si>
  <si>
    <t>Toeslag na activiteitencoöperatie - Complémént après coopératives d'activités</t>
  </si>
  <si>
    <t>halve dag/
demi jour</t>
  </si>
  <si>
    <t>IGU toeslag - AGR supplément</t>
  </si>
  <si>
    <t>IGU refertemaandloon - AGR salaire mensuel de référence</t>
  </si>
  <si>
    <t>IGU Uurtoeslag - AGR supplément par heure</t>
  </si>
  <si>
    <t>IGU minimale halve uitkering - AGR demi-allocation minimale</t>
  </si>
  <si>
    <t>art. 131bis, §1, 4°</t>
  </si>
  <si>
    <t>art. 131bis, §2, al. 1</t>
  </si>
  <si>
    <t>art. 131bis, §3, 3°</t>
  </si>
  <si>
    <t>art. 131septies/1, §5, al. 1</t>
  </si>
  <si>
    <t>art. 171, al. 1</t>
  </si>
  <si>
    <t>Gezinstoestand bruto-inkomens - Situation familiale revenus bruts</t>
  </si>
  <si>
    <t>Actief zoekgedrag verminderde uitk. - Comportement de recherche actif alloc.réduite</t>
  </si>
  <si>
    <t>KB 03.05.2007</t>
  </si>
  <si>
    <t>Niet-vervanging SWT - Non-remplacement RCC</t>
  </si>
  <si>
    <t>gezinslast / charge de famille</t>
  </si>
  <si>
    <t>bevoorrecht samenwonende</t>
  </si>
  <si>
    <t>cohabitant privilégié</t>
  </si>
  <si>
    <t>niet-bevoorrecht samenwonende</t>
  </si>
  <si>
    <t>havenarbeiders / travailleurs de port M 1 -&gt; 16</t>
  </si>
  <si>
    <t>havenarbeiders / travailleurs de port M 17 -&gt;</t>
  </si>
  <si>
    <t>alleenwonende / isolé</t>
  </si>
  <si>
    <t>cohabitant non privilégié</t>
  </si>
  <si>
    <t>gezinslast (incl. zeevissers) / charge de famille (pêcheurs inclus) M 1 -&gt; 16</t>
  </si>
  <si>
    <t>gezinslast (incl. zeevissers) / charge de famille (pêcheurs inclus) M 17 -&gt;</t>
  </si>
  <si>
    <t xml:space="preserve"> WA6F</t>
  </si>
  <si>
    <t xml:space="preserve"> WA63 WA64</t>
  </si>
  <si>
    <t xml:space="preserve"> WN3 WN4</t>
  </si>
  <si>
    <t xml:space="preserve"> WP3 WP4</t>
  </si>
  <si>
    <t xml:space="preserve"> WB3 WB4</t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</si>
  <si>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  - travailleur avec </t>
    </r>
    <r>
      <rPr>
        <b/>
        <sz val="12"/>
        <color rgb="FFFF0000"/>
        <rFont val="Arial"/>
        <family val="2"/>
      </rPr>
      <t>charge de famille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</si>
  <si>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 - travailleur </t>
    </r>
    <r>
      <rPr>
        <b/>
        <sz val="12"/>
        <color rgb="FFFF0000"/>
        <rFont val="Arial"/>
        <family val="2"/>
      </rPr>
      <t>isolé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</si>
  <si>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</si>
  <si>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cohabitant privilégié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</si>
  <si>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</t>
    </r>
    <r>
      <rPr>
        <b/>
        <sz val="12"/>
        <color rgb="FFFF0000"/>
        <rFont val="Arial"/>
        <family val="2"/>
      </rPr>
      <t>alleenwonende</t>
    </r>
    <r>
      <rPr>
        <b/>
        <sz val="12"/>
        <color rgb="FF0000FF"/>
        <rFont val="Arial"/>
        <family val="2"/>
      </rPr>
      <t xml:space="preserve"> werknemer </t>
    </r>
  </si>
  <si>
    <t>A12
A1T</t>
  </si>
  <si>
    <t>AF
+ COMPL 126</t>
  </si>
  <si>
    <t>NF
+ COMPL 126</t>
  </si>
  <si>
    <t xml:space="preserve">Wisselkoerstoeslag  - indemnité fluctuation taux de change </t>
  </si>
  <si>
    <t>oude regeling - ancien régime</t>
  </si>
  <si>
    <t>nieuwe regeling - nouveau régime</t>
  </si>
  <si>
    <t>BF
+ COMPL 126</t>
  </si>
  <si>
    <t>A0H</t>
  </si>
  <si>
    <t>uur/
heure</t>
  </si>
  <si>
    <t>stageuitkering "instapstage" 2013</t>
  </si>
  <si>
    <t>Leefloon - Revenu d'intégration</t>
  </si>
  <si>
    <t>gezinshoofd - chef de ménage</t>
  </si>
  <si>
    <t>alleenstaande - isolé</t>
  </si>
  <si>
    <t>samenwonende - cohabitant</t>
  </si>
  <si>
    <t>maand
mois</t>
  </si>
  <si>
    <t>jaar
année</t>
  </si>
  <si>
    <t>Anciënniteitstoeslag code A - Complément d'ancienneté code A</t>
  </si>
  <si>
    <t>Loongrens AZ - Plafond salarial AZ</t>
  </si>
  <si>
    <t>na de BIT - après le SIP</t>
  </si>
  <si>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21</t>
    </r>
  </si>
  <si>
    <t xml:space="preserve"> SA3F SA7F</t>
  </si>
  <si>
    <t xml:space="preserve"> SA3 SA73</t>
  </si>
  <si>
    <t xml:space="preserve"> SA6F</t>
  </si>
  <si>
    <t xml:space="preserve"> SA63</t>
  </si>
  <si>
    <t xml:space="preserve"> SN3</t>
  </si>
  <si>
    <t>tijdens de BIT - pendant le SIP</t>
  </si>
  <si>
    <t>allocation de stage "stage de transition" 2013</t>
  </si>
  <si>
    <t xml:space="preserve"> - (</t>
  </si>
  <si>
    <t>Maximaal bedrag C105 - Montant maximal C105</t>
  </si>
  <si>
    <t>A2B A2C
A3 A5
+ COMPL 126 (126,1)</t>
  </si>
  <si>
    <t>N2B N2C
N3 N5
+ COMPL 126 (126,1)</t>
  </si>
  <si>
    <t>B2B B2C
B3 B5
+ COMPL 126 (126,1)</t>
  </si>
  <si>
    <t>Volledige werkloosheidsuitkeringen -  minima en maxima</t>
  </si>
  <si>
    <t xml:space="preserve">Allocations de chômage complet - minima et maxima </t>
  </si>
  <si>
    <t>2A</t>
  </si>
  <si>
    <t>2B</t>
  </si>
  <si>
    <t>F</t>
  </si>
  <si>
    <t>MIN dag/jour</t>
  </si>
  <si>
    <t>MAX dag/jour</t>
  </si>
  <si>
    <t>MIN maand/mois</t>
  </si>
  <si>
    <t>MAX maand/mois</t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</si>
  <si>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zonder</t>
    </r>
    <r>
      <rPr>
        <b/>
        <sz val="12"/>
        <color rgb="FF0000FF"/>
        <rFont val="Arial"/>
        <family val="2"/>
      </rPr>
      <t xml:space="preserve"> anciënniteitstoeslag - Allocations </t>
    </r>
    <r>
      <rPr>
        <b/>
        <sz val="12"/>
        <color rgb="FFFF0000"/>
        <rFont val="Arial"/>
        <family val="2"/>
      </rPr>
      <t>complètes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sans</t>
    </r>
    <r>
      <rPr>
        <b/>
        <sz val="12"/>
        <color rgb="FF0000FF"/>
        <rFont val="Arial"/>
        <family val="2"/>
      </rPr>
      <t xml:space="preserve"> complément d'ancienneté</t>
    </r>
  </si>
  <si>
    <r>
      <rPr>
        <b/>
        <sz val="11"/>
        <color rgb="FFFF0000"/>
        <rFont val="Arial"/>
        <family val="2"/>
      </rPr>
      <t>A</t>
    </r>
    <r>
      <rPr>
        <sz val="10"/>
        <color rgb="FF0000FF"/>
        <rFont val="Arial"/>
        <family val="2"/>
      </rPr>
      <t xml:space="preserve"> Gezinslast volle uitkeringen - Charge de famille allocations complètes</t>
    </r>
  </si>
  <si>
    <r>
      <rPr>
        <b/>
        <sz val="11"/>
        <color rgb="FFFF0000"/>
        <rFont val="Arial"/>
        <family val="2"/>
      </rPr>
      <t>N</t>
    </r>
    <r>
      <rPr>
        <sz val="10"/>
        <color rgb="FF0000FF"/>
        <rFont val="Arial"/>
        <family val="2"/>
      </rPr>
      <t xml:space="preserve"> Alleenstaande volle uitkeringen - Isolé allocations complètes</t>
    </r>
  </si>
  <si>
    <r>
      <rPr>
        <b/>
        <sz val="11"/>
        <color rgb="FFFF0000"/>
        <rFont val="Arial"/>
        <family val="2"/>
      </rPr>
      <t>B</t>
    </r>
    <r>
      <rPr>
        <sz val="10"/>
        <color rgb="FF0000FF"/>
        <rFont val="Arial"/>
        <family val="2"/>
      </rPr>
      <t xml:space="preserve"> Samenwonende volle uitkeringen - Cohabitant allocations complètes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</si>
  <si>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zonder</t>
    </r>
    <r>
      <rPr>
        <b/>
        <sz val="12"/>
        <color rgb="FF0000FF"/>
        <rFont val="Arial"/>
        <family val="2"/>
      </rPr>
      <t xml:space="preserve"> anciënniteitstoeslag -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allocations  </t>
    </r>
    <r>
      <rPr>
        <b/>
        <sz val="12"/>
        <color rgb="FFFF0000"/>
        <rFont val="Arial"/>
        <family val="2"/>
      </rPr>
      <t>sans</t>
    </r>
    <r>
      <rPr>
        <b/>
        <sz val="12"/>
        <color rgb="FF0000FF"/>
        <rFont val="Arial"/>
        <family val="2"/>
      </rPr>
      <t xml:space="preserve"> complément d'ancienneté</t>
    </r>
  </si>
  <si>
    <r>
      <rPr>
        <b/>
        <sz val="11"/>
        <color rgb="FFFF0000"/>
        <rFont val="Arial"/>
        <family val="2"/>
      </rPr>
      <t>A</t>
    </r>
    <r>
      <rPr>
        <sz val="10"/>
        <color rgb="FF0000FF"/>
        <rFont val="Arial"/>
        <family val="2"/>
      </rPr>
      <t xml:space="preserve"> Gezinslast halve uitkeringen - Charge de famille demi allocations</t>
    </r>
  </si>
  <si>
    <r>
      <rPr>
        <b/>
        <sz val="11"/>
        <color rgb="FFFF0000"/>
        <rFont val="Arial"/>
        <family val="2"/>
      </rPr>
      <t>N</t>
    </r>
    <r>
      <rPr>
        <sz val="10"/>
        <color rgb="FF0000FF"/>
        <rFont val="Arial"/>
        <family val="2"/>
      </rPr>
      <t xml:space="preserve"> Alleenstaande halve uitkeringen - Isolé demi allocations</t>
    </r>
  </si>
  <si>
    <r>
      <rPr>
        <b/>
        <sz val="11"/>
        <color rgb="FFFF0000"/>
        <rFont val="Arial"/>
        <family val="2"/>
      </rPr>
      <t>B</t>
    </r>
    <r>
      <rPr>
        <sz val="10"/>
        <color rgb="FF0000FF"/>
        <rFont val="Arial"/>
        <family val="2"/>
      </rPr>
      <t xml:space="preserve"> Samenwonende halve uitkeringen - Cohabitant demi allocations</t>
    </r>
  </si>
  <si>
    <r>
      <rPr>
        <b/>
        <sz val="11"/>
        <color rgb="FFFF0000"/>
        <rFont val="Arial"/>
        <family val="2"/>
      </rPr>
      <t>B+</t>
    </r>
    <r>
      <rPr>
        <sz val="10"/>
        <color rgb="FF0000FF"/>
        <rFont val="Arial"/>
        <family val="2"/>
      </rPr>
      <t xml:space="preserve"> Bevoorrecht samenwonende volle uitkeringen - Cohabitant privilégié allocations complètes</t>
    </r>
  </si>
  <si>
    <r>
      <rPr>
        <b/>
        <sz val="11"/>
        <color rgb="FFFF0000"/>
        <rFont val="Arial"/>
        <family val="2"/>
      </rPr>
      <t>B+</t>
    </r>
    <r>
      <rPr>
        <sz val="10"/>
        <color rgb="FF0000FF"/>
        <rFont val="Arial"/>
        <family val="2"/>
      </rPr>
      <t xml:space="preserve"> Bevoorrecht samenwonende halve uitkeringen - Cohabitant privilégié demi allocations</t>
    </r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</si>
  <si>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met</t>
    </r>
    <r>
      <rPr>
        <b/>
        <sz val="12"/>
        <color rgb="FF0000FF"/>
        <rFont val="Arial"/>
        <family val="2"/>
      </rPr>
      <t xml:space="preserve"> anciënniteitstoeslag - Allocations </t>
    </r>
    <r>
      <rPr>
        <b/>
        <sz val="12"/>
        <color rgb="FFFF0000"/>
        <rFont val="Arial"/>
        <family val="2"/>
      </rPr>
      <t>complètes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avec</t>
    </r>
    <r>
      <rPr>
        <b/>
        <sz val="12"/>
        <color rgb="FF0000FF"/>
        <rFont val="Arial"/>
        <family val="2"/>
      </rPr>
      <t xml:space="preserve"> complément d'ancienneté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</si>
  <si>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met</t>
    </r>
    <r>
      <rPr>
        <b/>
        <sz val="12"/>
        <color rgb="FF0000FF"/>
        <rFont val="Arial"/>
        <family val="2"/>
      </rPr>
      <t xml:space="preserve"> anciënniteitstoeslag -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allocations  </t>
    </r>
    <r>
      <rPr>
        <b/>
        <sz val="12"/>
        <color rgb="FFFF0000"/>
        <rFont val="Arial"/>
        <family val="2"/>
      </rPr>
      <t>avec</t>
    </r>
    <r>
      <rPr>
        <b/>
        <sz val="12"/>
        <color rgb="FF0000FF"/>
        <rFont val="Arial"/>
        <family val="2"/>
      </rPr>
      <t xml:space="preserve"> complément d'ancienneté</t>
    </r>
  </si>
  <si>
    <t>2C/3/5</t>
  </si>
  <si>
    <t>art. 131bis, §2bis, al. 3</t>
  </si>
  <si>
    <t>• 60, al. 3 MB - AM</t>
  </si>
  <si>
    <t>art. 79, §10, al. 5</t>
  </si>
  <si>
    <t>art. 90 - 114, §5 - 125</t>
  </si>
  <si>
    <t>art. 114, §4</t>
  </si>
  <si>
    <t>art. 127, §1, 1°</t>
  </si>
  <si>
    <t>art. 129quater, §1, al. 2</t>
  </si>
  <si>
    <t>Refertedagloon artiesten - Salaire journalier de référence artistes</t>
  </si>
  <si>
    <t>art. 28, §2 (5 MB - AM)</t>
  </si>
  <si>
    <t xml:space="preserve"> SP3</t>
  </si>
  <si>
    <t xml:space="preserve"> SB3</t>
  </si>
  <si>
    <t>S =</t>
  </si>
  <si>
    <r>
      <rPr>
        <u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18 en &lt; 21</t>
    </r>
  </si>
  <si>
    <r>
      <rPr>
        <u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18</t>
    </r>
  </si>
  <si>
    <t>Vrijstelling mantelzorg - Dispenses aidant proche - 2015</t>
  </si>
  <si>
    <t>Eerste 24 maand - 24 premiers mois (+ palliati(e)f)</t>
  </si>
  <si>
    <t>Havenarbeiders
Travailleurs de port
(Bedragen/montants R5!)</t>
  </si>
  <si>
    <t>Toegelaten cumul (vanaf geldigheid barema) - Cumul autorisé (à partir de la validité barème)</t>
  </si>
  <si>
    <t>art. 37</t>
  </si>
  <si>
    <t>Bedragen betaalde sportbeoefenaars - Montants sportifs rémunérés</t>
  </si>
  <si>
    <t>Minimumbedrag - Montant minimal</t>
  </si>
  <si>
    <t>Zeevissers
Pêcheurs de mer</t>
  </si>
  <si>
    <t>A7</t>
  </si>
  <si>
    <t>Artistieke activiteiten Bedrag Y - Activités artistiques Montant Y</t>
  </si>
  <si>
    <t>AFoud</t>
  </si>
  <si>
    <t>NFoud</t>
  </si>
  <si>
    <t>BFoud</t>
  </si>
  <si>
    <t>Afoud + COMPL</t>
  </si>
  <si>
    <t>NFoud + COMPL</t>
  </si>
  <si>
    <t>BFoud + COMPL</t>
  </si>
  <si>
    <t>CA/ ••#••••</t>
  </si>
  <si>
    <t># = 1, 2, 3, 4, 5</t>
  </si>
  <si>
    <t>ACTIVA - WALLONIE</t>
  </si>
  <si>
    <t>G•/ ••WA1••</t>
  </si>
  <si>
    <t>G•/ ••WA2••</t>
  </si>
  <si>
    <t>G•/ ••WA3••</t>
  </si>
  <si>
    <t>G•/ ••WB1••</t>
  </si>
  <si>
    <t>G•/ ••WB2••</t>
  </si>
  <si>
    <t>G•/ ••WB3••</t>
  </si>
  <si>
    <t>250,00 X U/[Sx4]   (max. 250,00)</t>
  </si>
  <si>
    <t>125,00 X U/[Sx4]   (max. 125,00)</t>
  </si>
  <si>
    <t>ACTIVA - BRUSSEL/BRUXELLES</t>
  </si>
  <si>
    <t>G•/ ••BA1••</t>
  </si>
  <si>
    <t>G•/ ••BA2••</t>
  </si>
  <si>
    <t>G•/ ••BA3••</t>
  </si>
  <si>
    <t>G•/ ••BB1••</t>
  </si>
  <si>
    <t>G•/ ••BB2••</t>
  </si>
  <si>
    <t>350,00 X U/[Sx4]   (max.350,00)</t>
  </si>
  <si>
    <t>800,00 X U/[Sx4]   (max. 800,00)</t>
  </si>
  <si>
    <t>350,00 X U/[Sx4]   (max. 350,00)</t>
  </si>
  <si>
    <t>750,00 X U/[Sx4]   (max. 750,00)</t>
  </si>
  <si>
    <t>600,00 X U/[Sx4]   (max. 600,00)</t>
  </si>
  <si>
    <t xml:space="preserve"> IA TA</t>
  </si>
  <si>
    <t xml:space="preserve"> IN</t>
  </si>
  <si>
    <t xml:space="preserve"> IN </t>
  </si>
  <si>
    <t xml:space="preserve"> IN TN</t>
  </si>
  <si>
    <t xml:space="preserve"> IP</t>
  </si>
  <si>
    <t xml:space="preserve"> IP TP</t>
  </si>
  <si>
    <t xml:space="preserve"> I</t>
  </si>
  <si>
    <t xml:space="preserve"> I T</t>
  </si>
  <si>
    <t xml:space="preserve">Basisbedragen geldig op </t>
  </si>
  <si>
    <t>Rang index</t>
  </si>
  <si>
    <t>Multiplicator</t>
  </si>
  <si>
    <t>Datum</t>
  </si>
  <si>
    <t>Gewone regeling</t>
  </si>
  <si>
    <t xml:space="preserve">Artikel </t>
  </si>
  <si>
    <t>Wat</t>
  </si>
  <si>
    <t>Basisbedrag</t>
  </si>
  <si>
    <t>Freq bedrag</t>
  </si>
  <si>
    <t>Zie (geen bedrag in KB)</t>
  </si>
  <si>
    <t>45bis (fiscale vrijstelling vrijwilligers)</t>
  </si>
  <si>
    <t>KB WLH</t>
  </si>
  <si>
    <t>Wisselkoerstoeslag (loongrenzen)</t>
  </si>
  <si>
    <t>28, § 2 (5 MB)</t>
  </si>
  <si>
    <t>maand</t>
  </si>
  <si>
    <t>cao 43</t>
  </si>
  <si>
    <t>36quater, § 4, 1e lid</t>
  </si>
  <si>
    <t>Bedrag stage-uitkering (instapstage)</t>
  </si>
  <si>
    <t>dag</t>
  </si>
  <si>
    <t>Betaalde sportbeoefenaar minimumbedrag</t>
  </si>
  <si>
    <t>jaar</t>
  </si>
  <si>
    <t>wet 24/02/1978, art. 2, § 1 + jaarlijks KB</t>
  </si>
  <si>
    <t>45bis</t>
  </si>
  <si>
    <t>Maximumbedrag dagvoordeel vrijwilligers met fiscale vrijstelling</t>
  </si>
  <si>
    <t>wet 03/07/2005, art. 10, 1e lid</t>
  </si>
  <si>
    <t>Maximumbedrag jaarvoordeel vrijwilligers met fiscale vrijstelling</t>
  </si>
  <si>
    <t>84, 1e lid</t>
  </si>
  <si>
    <t>Maximumbedrag nettobelastbaar gezinsinkomen</t>
  </si>
  <si>
    <t>Verhoging per persoon ten laste</t>
  </si>
  <si>
    <t>84, 3e lid</t>
  </si>
  <si>
    <t>Neutraliseerbaar daginkomen</t>
  </si>
  <si>
    <t>110 (60, 2e lid MB)</t>
  </si>
  <si>
    <t>Beroepsinkomen partner maximum</t>
  </si>
  <si>
    <t>110 (60, 3e lid MB)</t>
  </si>
  <si>
    <t>Beroepsinkomen kind maximum</t>
  </si>
  <si>
    <t>110 (61, 2e lid MB)</t>
  </si>
  <si>
    <t>Vervanginsinkomen maximum</t>
  </si>
  <si>
    <t>110 (61, 3e lid MB)</t>
  </si>
  <si>
    <t>Vervangingsinkomen onthaalouder maximum</t>
  </si>
  <si>
    <t>110 (62, 2e en 3e lid MB)</t>
  </si>
  <si>
    <t>Gepensioneerde ascendent + kind (of gehandicapte ascendent) maximum</t>
  </si>
  <si>
    <t>110 (62, 3e lid MB)</t>
  </si>
  <si>
    <t>Gepensioneerde ascendent maximum</t>
  </si>
  <si>
    <t>Loongrens A</t>
  </si>
  <si>
    <t>Loongrens B</t>
  </si>
  <si>
    <t>Loongrens C</t>
  </si>
  <si>
    <t>Loongrens AX (jeugd- en seniorvakantie)</t>
  </si>
  <si>
    <t>Loongrens AY (N2 zonder anciënniteitstoeslag)</t>
  </si>
  <si>
    <t>Loongrens AZ (SWT)</t>
  </si>
  <si>
    <t>114, § 3, 3°</t>
  </si>
  <si>
    <t>FF samenwonende</t>
  </si>
  <si>
    <t>Minimum bevoorrecht samenwonende</t>
  </si>
  <si>
    <t>114, § 5, 1° - 125, 1°</t>
  </si>
  <si>
    <t>Bedrag art. 90-125 maand 1-24  + palliatief</t>
  </si>
  <si>
    <t>114, § 5, 2° - 125, 2°</t>
  </si>
  <si>
    <t>Bedrag art. 90-125 maand 25-48  niet palliatief</t>
  </si>
  <si>
    <t>Minimum VW alleenstaande</t>
  </si>
  <si>
    <t>Minimum VW samenwonende B11</t>
  </si>
  <si>
    <t>Minimum VW samenwonende B12-B13</t>
  </si>
  <si>
    <t>Minimum VW samenwonende B2A-B2B</t>
  </si>
  <si>
    <t>115, § 3, 1°</t>
  </si>
  <si>
    <t>Verlaagd FF gezinshoofd</t>
  </si>
  <si>
    <t>115, § 3, 2°</t>
  </si>
  <si>
    <t>Verlaagd FF alleenstaande</t>
  </si>
  <si>
    <t>115, § 3, 3°</t>
  </si>
  <si>
    <t>Verlaagd FF bevoorrecht samenwonende</t>
  </si>
  <si>
    <t>115, § 3, 4°</t>
  </si>
  <si>
    <t>Verlaagd FF samenwonende</t>
  </si>
  <si>
    <t>124, 1e lid, 1°</t>
  </si>
  <si>
    <t>Inschakelingsuitkering gezinshoofd</t>
  </si>
  <si>
    <t>124, 1e lid, 2°, a</t>
  </si>
  <si>
    <t>Inschakelingsuitkering alleenstaande &lt;18</t>
  </si>
  <si>
    <t>124, 1e lid, 2°, b</t>
  </si>
  <si>
    <t>Inschakelingsuitkering alleenstaande &gt;=18 - &lt;21</t>
  </si>
  <si>
    <t>124, 1e lid, 2°, c</t>
  </si>
  <si>
    <t>124, 1e lid, 3°, a</t>
  </si>
  <si>
    <t>Inschakelingsuitkering samenwonende &lt;18</t>
  </si>
  <si>
    <t>124, 1e lid, 3°, b</t>
  </si>
  <si>
    <t>Inschakelingsuitkering samenwonende &gt;=18</t>
  </si>
  <si>
    <t>124, 2e lid</t>
  </si>
  <si>
    <t>124, 3e lid</t>
  </si>
  <si>
    <t>Inschakelingsuitkering gezinshoofd 78 arb. d. - 1e 16m</t>
  </si>
  <si>
    <t>127, § 1, 1°</t>
  </si>
  <si>
    <t>Anciënniteitstoeslag gezinshoofd</t>
  </si>
  <si>
    <t>127, § 1, 8°</t>
  </si>
  <si>
    <t>Anciënniteitstoeslag FF</t>
  </si>
  <si>
    <t>127, § 2, 1°</t>
  </si>
  <si>
    <t>Minimum anciënniteitstoeslag gezinshoofd</t>
  </si>
  <si>
    <t>127, § 2, 2°</t>
  </si>
  <si>
    <t>Minimum anciënniteitstoeslag alleenstaande</t>
  </si>
  <si>
    <t>127, § 2, 3°</t>
  </si>
  <si>
    <t>Minimum anciënniteitstoeslag samenwonende &gt;=58</t>
  </si>
  <si>
    <t>127, § 2, 4°</t>
  </si>
  <si>
    <t>Minimum anciënniteitstoeslag samenwonende &gt;=55 - &lt;58</t>
  </si>
  <si>
    <t>129bis+ter, § 1, 2e lid</t>
  </si>
  <si>
    <t>Onbeperkte werkhervattingstoeslag</t>
  </si>
  <si>
    <t>129bis+ter, § 1bis, 2e lid</t>
  </si>
  <si>
    <t>Tijdelijke werkhervattingstoeslag - maand 1-12</t>
  </si>
  <si>
    <t>Tijdelijke werkhervattingstoeslag - maand 13-24</t>
  </si>
  <si>
    <t>Tijdelijke werkhervattingstoeslag - maand 25-36</t>
  </si>
  <si>
    <t>129quater, § 1, 2e lid</t>
  </si>
  <si>
    <t>Werkhervattingstoeslag ACCO</t>
  </si>
  <si>
    <t>130, § 2, 1e lid</t>
  </si>
  <si>
    <t>Grens bijberoep/mandaat/pensioen…</t>
  </si>
  <si>
    <t>130bis</t>
  </si>
  <si>
    <t>Verminderd dagbedrag DISPO gezinshoofd (obv leefloon)</t>
  </si>
  <si>
    <t>wet 26/05/2002, art. 14, § 1</t>
  </si>
  <si>
    <t>Verminderd dagbedrag DISPO alleenstaande (obv leefloon)</t>
  </si>
  <si>
    <t>Leefloon samenwonende</t>
  </si>
  <si>
    <t>131bis, § 2,1e lid, 1°</t>
  </si>
  <si>
    <t>IGU - maandbedrag toeslag oude regeling gezinshoofd</t>
  </si>
  <si>
    <t>131bis, § 2,1e lid, 2°</t>
  </si>
  <si>
    <t>IGU - maandbedrag toeslag oude regeling alleenstaande</t>
  </si>
  <si>
    <t>131bis, § 2,1e lid, 3°</t>
  </si>
  <si>
    <t>IGU - maandbedrag toeslag oude regeling samenwonende</t>
  </si>
  <si>
    <t>131bis, § 2bis, 3e lid</t>
  </si>
  <si>
    <t>IGU - uurbedrag toeslag nieuwe regeling (alle cat.)</t>
  </si>
  <si>
    <t>uur</t>
  </si>
  <si>
    <t>131ter, 4e lid</t>
  </si>
  <si>
    <t>Minimumbedrag jeugd- en seniorvakantie</t>
  </si>
  <si>
    <t>131septies/1, § 5, 1e lid</t>
  </si>
  <si>
    <t>Kinderopvangtoeslag</t>
  </si>
  <si>
    <t>171, 1e lid</t>
  </si>
  <si>
    <t>Ontheffing TV - maximumbedrag bestaansmiddelen</t>
  </si>
  <si>
    <t>Andere</t>
  </si>
  <si>
    <t>Wisselkoerstoeslag eerste loongrens</t>
  </si>
  <si>
    <t>KB 01/06/1999, art. 3</t>
  </si>
  <si>
    <t>Wisselkoerstoeslag tweede loongrens</t>
  </si>
  <si>
    <t>Opvanguitkering</t>
  </si>
  <si>
    <t>KB 26/03/2003, art. 3</t>
  </si>
  <si>
    <t>KB 17/01/2000</t>
  </si>
  <si>
    <t>Inschakelingsuitkering alleenstaande &gt;=21</t>
  </si>
  <si>
    <t>Inschakelingsuitkering bevoorrecht samenwonende &lt;18</t>
  </si>
  <si>
    <t>Inschakelingsuitkering bevoorrecht samenwonende &gt;=18</t>
  </si>
  <si>
    <t>Comp. verg. niet vervanging SWT</t>
  </si>
  <si>
    <t>KB 03/05/2007, art. 11, § 1, 3e lid</t>
  </si>
  <si>
    <t xml:space="preserve"> WA3 WA4 WA73 WA74 DA1 DA2</t>
  </si>
  <si>
    <t xml:space="preserve"> WN3 WN4 DN1 DN2</t>
  </si>
  <si>
    <t xml:space="preserve">D =  </t>
  </si>
  <si>
    <t>beschermingsuitkering</t>
  </si>
  <si>
    <t>allocation de sauvegarde</t>
  </si>
  <si>
    <t xml:space="preserve"> WP3 WP4 DP1 DP2</t>
  </si>
  <si>
    <t xml:space="preserve"> WB3 WB4 DB1 DB2</t>
  </si>
  <si>
    <t>115, § 1, 1e lid, 1°</t>
  </si>
  <si>
    <t>115, § 1, 1e lid, 2°</t>
  </si>
  <si>
    <t>115, § 1, 2e lid, 1°</t>
  </si>
  <si>
    <t>115, § 1, 2e lid, 2°</t>
  </si>
  <si>
    <t>Minimum SWT/BP gezinshoofd</t>
  </si>
  <si>
    <t>Minimum SWT/BP alleenstaande</t>
  </si>
  <si>
    <t>115, § 2, 1e lid, 1°</t>
  </si>
  <si>
    <t>115, § 2, 1e lid, 2°</t>
  </si>
  <si>
    <t>Minimum VW gezinshoofd</t>
  </si>
  <si>
    <t>115, § 2, 2e lid</t>
  </si>
  <si>
    <t>Minimum SWT/BP samenwonende</t>
  </si>
  <si>
    <t>115, § 2, 1e lid, 3° en 4°, a)</t>
  </si>
  <si>
    <t>114, § 4 - 115, § 2, 1e lid, 4°, b)</t>
  </si>
  <si>
    <t>111, 2e lid, 1°</t>
  </si>
  <si>
    <t>111, 2e lid, 2°</t>
  </si>
  <si>
    <t>111, 2e lid, 3°</t>
  </si>
  <si>
    <t>111, 2e lid, 4°</t>
  </si>
  <si>
    <t>111, 2e lid, 5°</t>
  </si>
  <si>
    <t>111, 2e lid, 6°</t>
  </si>
  <si>
    <t>art. 46, §3, 7°</t>
  </si>
  <si>
    <t>Zitpenningen culturele sector - Jetons de présence secteur culturel</t>
  </si>
  <si>
    <t>46, § 3, 7°</t>
  </si>
  <si>
    <t>Zitpenningen culturele sector</t>
  </si>
  <si>
    <t>Werkbonus maximumloongrens vermenigvuldigingsfactor</t>
  </si>
  <si>
    <t>Kunstwerkers
Travailleurs des arts</t>
  </si>
  <si>
    <t>AA</t>
  </si>
  <si>
    <t>AN
AB</t>
  </si>
  <si>
    <t xml:space="preserve">191, § 2, 1° </t>
  </si>
  <si>
    <t>Minimum kunstwerkers - cat. A</t>
  </si>
  <si>
    <t xml:space="preserve">191, § 2, 2° </t>
  </si>
  <si>
    <t>Minimum kunstwerkers - cat. N/B</t>
  </si>
  <si>
    <t>189, § 1, 4e lid</t>
  </si>
  <si>
    <t>Grens  bijberoep kunstwerkers</t>
  </si>
  <si>
    <t>Toegelaten cumul kunstwerkers - Cumul autorisé travailleurs des arts</t>
  </si>
  <si>
    <t>art. 48bis, §2, al. 9
art. 195, § 3</t>
  </si>
  <si>
    <t>art. 37 (10 MB - AM)
art. 195, § 2</t>
  </si>
  <si>
    <t>A0 N0 B0</t>
  </si>
  <si>
    <t>HN14</t>
  </si>
  <si>
    <t>HB14</t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</si>
  <si>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
Allocation </t>
    </r>
    <r>
      <rPr>
        <b/>
        <sz val="12"/>
        <color rgb="FFFF0000"/>
        <rFont val="Arial"/>
        <family val="2"/>
      </rPr>
      <t>entière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</si>
  <si>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
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</t>
    </r>
  </si>
  <si>
    <t>Werkbonus middelste loongrens vermenigvuldigingsfactor</t>
  </si>
  <si>
    <t>AF
A29</t>
  </si>
  <si>
    <t>NF
N29</t>
  </si>
  <si>
    <t>A2A A2B A2C A3 A5 HA14</t>
  </si>
  <si>
    <t>N2A N2B N2C
N3 N5</t>
  </si>
  <si>
    <t>B2A B2B
B2C
B3 B5</t>
  </si>
  <si>
    <t>art. 188, §2, al. 1</t>
  </si>
  <si>
    <t>Artistieke activiteiten Bedrag Y (2024 -&gt;) - Activités artistiques Montant Y (2024 -&gt;)</t>
  </si>
  <si>
    <t>art. 189, §1, al. 4</t>
  </si>
  <si>
    <t>115, § 4, 1°</t>
  </si>
  <si>
    <t>115, § 4, 2°</t>
  </si>
  <si>
    <t>Minimum TW alle cat. (indien geen overmacht)</t>
  </si>
  <si>
    <t>Werkbonus voordeel VA pct</t>
  </si>
  <si>
    <t>Werkbonus voordeel VB pct</t>
  </si>
  <si>
    <t>Werkbonus laagste loongrens vermenigvuldigingsfactor</t>
  </si>
  <si>
    <t>GMMI op 01/04/2022</t>
  </si>
  <si>
    <t>GMMI220401</t>
  </si>
  <si>
    <t>GMMI240401</t>
  </si>
  <si>
    <t>GMMI vanaf 01/04/2024</t>
  </si>
  <si>
    <t>Minimum TW alle cat. (indien overmacht)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</si>
</sst>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0.0000"/>
    <numFmt numFmtId="165" formatCode="d/mm/yyyy;@"/>
    <numFmt numFmtId="166" formatCode="dd\.mm\.yyyy"/>
    <numFmt numFmtId="167" formatCode="#,##0.0000"/>
    <numFmt numFmtId="168" formatCode="#,##0.000000"/>
  </numFmts>
  <fonts count="72">
    <font>
      <sz val="11"/>
      <color theme="1"/>
      <name val="Calibri"/>
      <family val="2"/>
      <scheme val="minor"/>
    </font>
    <font>
      <b/>
      <sz val="7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2"/>
      <color indexed="12"/>
      <name val="Arial Narrow"/>
      <family val="2"/>
    </font>
    <font>
      <b/>
      <sz val="12"/>
      <color indexed="8"/>
      <name val="Arial Narrow"/>
      <family val="2"/>
    </font>
    <font>
      <b/>
      <sz val="11"/>
      <name val="Arial Narrow"/>
      <family val="2"/>
    </font>
    <font>
      <b/>
      <sz val="11"/>
      <color indexed="12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FF0000"/>
      <name val="Arial"/>
      <family val="2"/>
    </font>
    <font>
      <sz val="9"/>
      <color rgb="FF0000FF"/>
      <name val="Arial"/>
      <family val="2"/>
    </font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12"/>
      <color theme="1"/>
      <name val="Arial"/>
      <family val="2"/>
    </font>
    <font>
      <sz val="9"/>
      <name val="Helv"/>
    </font>
    <font>
      <sz val="9"/>
      <name val="Arial Narrow"/>
      <family val="2"/>
    </font>
    <font>
      <sz val="10"/>
      <name val="Helv"/>
    </font>
    <font>
      <sz val="10"/>
      <color indexed="12"/>
      <name val="Arial Narrow"/>
      <family val="2"/>
    </font>
    <font>
      <sz val="9"/>
      <color indexed="12"/>
      <name val="Arial Narrow"/>
      <family val="2"/>
    </font>
    <font>
      <b/>
      <sz val="10"/>
      <color indexed="12"/>
      <name val="Arial Narrow"/>
      <family val="2"/>
    </font>
    <font>
      <b/>
      <sz val="10"/>
      <color indexed="8"/>
      <name val="Geneva"/>
    </font>
    <font>
      <b/>
      <sz val="12"/>
      <color indexed="8"/>
      <name val="Helv"/>
    </font>
    <font>
      <sz val="10"/>
      <color indexed="8"/>
      <name val="Helv"/>
    </font>
    <font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12"/>
      <name val="Helv"/>
    </font>
    <font>
      <b/>
      <sz val="9"/>
      <color indexed="12"/>
      <name val="Arial Narrow"/>
      <family val="2"/>
    </font>
    <font>
      <b/>
      <sz val="10"/>
      <name val="Helv"/>
    </font>
    <font>
      <sz val="8"/>
      <name val="Arial Narrow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2"/>
      <name val="Geneva"/>
    </font>
    <font>
      <b/>
      <sz val="10"/>
      <color indexed="39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 Narrow"/>
      <family val="2"/>
    </font>
    <font>
      <b/>
      <sz val="14"/>
      <color indexed="12"/>
      <name val="Arial Narrow"/>
      <family val="2"/>
    </font>
    <font>
      <sz val="9"/>
      <name val="Arial"/>
      <family val="2"/>
    </font>
    <font>
      <b/>
      <sz val="7"/>
      <color indexed="12"/>
      <name val="Arial Narrow"/>
      <family val="2"/>
    </font>
    <font>
      <b/>
      <sz val="7"/>
      <color rgb="FF0000FF"/>
      <name val="Arial Narrow"/>
      <family val="2"/>
    </font>
    <font>
      <sz val="11"/>
      <color rgb="FF0000FF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</fills>
  <borders count="17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9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thin">
        <color indexed="8"/>
      </right>
      <top style="medium">
        <color indexed="12"/>
      </top>
      <bottom style="medium">
        <color indexed="12"/>
      </bottom>
      <diagonal/>
    </border>
    <border>
      <left style="hair">
        <color indexed="8"/>
      </left>
      <right style="thin">
        <color indexed="8"/>
      </right>
      <top style="medium">
        <color indexed="12"/>
      </top>
      <bottom style="medium">
        <color indexed="12"/>
      </bottom>
      <diagonal/>
    </border>
    <border>
      <left style="hair">
        <color indexed="8"/>
      </left>
      <right/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/>
      <bottom style="thin">
        <color indexed="12"/>
      </bottom>
      <diagonal/>
    </border>
    <border>
      <left style="thin">
        <color theme="1"/>
      </left>
      <right style="medium">
        <color rgb="FF0000FF"/>
      </right>
      <top style="medium">
        <color rgb="FF0000FF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FF"/>
      </left>
      <right style="thin">
        <color theme="1"/>
      </right>
      <top style="thin">
        <color theme="1"/>
      </top>
      <bottom style="medium">
        <color rgb="FF0000F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FF"/>
      </bottom>
      <diagonal/>
    </border>
    <border>
      <left style="thin">
        <color theme="1"/>
      </left>
      <right style="medium">
        <color rgb="FF0000FF"/>
      </right>
      <top style="thin">
        <color theme="1"/>
      </top>
      <bottom style="medium">
        <color rgb="FF0000FF"/>
      </bottom>
      <diagonal/>
    </border>
    <border>
      <left/>
      <right style="thin">
        <color theme="1"/>
      </right>
      <top/>
      <bottom style="medium">
        <color rgb="FF0000FF"/>
      </bottom>
      <diagonal/>
    </border>
    <border>
      <left style="thin">
        <color theme="1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thin">
        <color theme="1"/>
      </left>
      <right/>
      <top/>
      <bottom style="medium">
        <color rgb="FF0000FF"/>
      </bottom>
      <diagonal/>
    </border>
    <border>
      <left style="medium">
        <color indexed="12"/>
      </left>
      <right/>
      <top style="medium">
        <color indexed="12"/>
      </top>
      <bottom style="thin">
        <color theme="1"/>
      </bottom>
      <diagonal/>
    </border>
    <border>
      <left/>
      <right/>
      <top style="medium">
        <color indexed="12"/>
      </top>
      <bottom style="thin">
        <color theme="1"/>
      </bottom>
      <diagonal/>
    </border>
    <border>
      <left/>
      <right style="medium">
        <color indexed="12"/>
      </right>
      <top style="medium">
        <color indexed="12"/>
      </top>
      <bottom style="thin">
        <color theme="1"/>
      </bottom>
      <diagonal/>
    </border>
    <border>
      <left style="medium">
        <color indexed="12"/>
      </left>
      <right/>
      <top style="thin">
        <color theme="1"/>
      </top>
      <bottom style="medium">
        <color indexed="12"/>
      </bottom>
      <diagonal/>
    </border>
    <border>
      <left/>
      <right/>
      <top style="thin">
        <color theme="1"/>
      </top>
      <bottom style="medium">
        <color indexed="12"/>
      </bottom>
      <diagonal/>
    </border>
    <border>
      <left/>
      <right style="medium">
        <color indexed="12"/>
      </right>
      <top style="thin">
        <color theme="1"/>
      </top>
      <bottom style="medium">
        <color indexed="12"/>
      </bottom>
      <diagonal/>
    </border>
    <border>
      <left style="medium">
        <color indexed="12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12"/>
      </right>
      <top style="thin">
        <color theme="1"/>
      </top>
      <bottom style="thin">
        <color theme="1"/>
      </bottom>
      <diagonal/>
    </border>
    <border>
      <left style="medium">
        <color rgb="FF0000FF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auto="1"/>
      </bottom>
      <diagonal/>
    </border>
    <border>
      <left/>
      <right/>
      <top style="medium">
        <color rgb="FF0000FF"/>
      </top>
      <bottom style="thin">
        <color auto="1"/>
      </bottom>
      <diagonal/>
    </border>
    <border>
      <left/>
      <right style="medium">
        <color rgb="FF0000FF"/>
      </right>
      <top style="medium">
        <color rgb="FF0000FF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auto="1"/>
      </bottom>
      <diagonal/>
    </border>
    <border>
      <left style="medium">
        <color rgb="FF0000FF"/>
      </left>
      <right/>
      <top style="thin">
        <color auto="1"/>
      </top>
      <bottom style="medium">
        <color rgb="FF0000FF"/>
      </bottom>
      <diagonal/>
    </border>
    <border>
      <left/>
      <right/>
      <top style="thin">
        <color auto="1"/>
      </top>
      <bottom style="medium">
        <color rgb="FF0000FF"/>
      </bottom>
      <diagonal/>
    </border>
    <border>
      <left/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medium">
        <color rgb="FF0000FF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indexed="12"/>
      </left>
      <right/>
      <top style="medium">
        <color indexed="12"/>
      </top>
      <bottom style="thin">
        <color auto="1"/>
      </bottom>
      <diagonal/>
    </border>
    <border>
      <left/>
      <right/>
      <top style="medium">
        <color indexed="12"/>
      </top>
      <bottom style="thin">
        <color auto="1"/>
      </bottom>
      <diagonal/>
    </border>
    <border>
      <left/>
      <right style="medium">
        <color indexed="12"/>
      </right>
      <top style="medium">
        <color indexed="12"/>
      </top>
      <bottom style="thin">
        <color auto="1"/>
      </bottom>
      <diagonal/>
    </border>
    <border>
      <left style="medium">
        <color indexed="12"/>
      </left>
      <right/>
      <top style="thin">
        <color auto="1"/>
      </top>
      <bottom style="thin">
        <color auto="1"/>
      </bottom>
      <diagonal/>
    </border>
    <border>
      <left/>
      <right style="medium">
        <color indexed="12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/>
      <top style="medium">
        <color indexed="12"/>
      </top>
      <bottom style="thin">
        <color auto="1"/>
      </bottom>
      <diagonal/>
    </border>
    <border>
      <left style="medium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medium">
        <color rgb="FF0000FF"/>
      </top>
      <bottom style="medium">
        <color rgb="FF0000FF"/>
      </bottom>
      <diagonal/>
    </border>
    <border>
      <left style="thin">
        <color theme="1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0000FF"/>
      </right>
      <top/>
      <bottom style="thin">
        <color theme="1"/>
      </bottom>
      <diagonal/>
    </border>
    <border>
      <left style="medium">
        <color rgb="FF0000FF"/>
      </left>
      <right style="thin">
        <color theme="1"/>
      </right>
      <top style="medium">
        <color rgb="FF0000FF"/>
      </top>
      <bottom style="medium">
        <color rgb="FF0000FF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theme="1"/>
      </bottom>
      <diagonal/>
    </border>
    <border>
      <left style="medium">
        <color rgb="FF0000FF"/>
      </left>
      <right style="medium">
        <color rgb="FF0000FF"/>
      </right>
      <top style="thin">
        <color theme="1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thin">
        <color theme="1"/>
      </bottom>
      <diagonal/>
    </border>
    <border>
      <left/>
      <right/>
      <top style="medium">
        <color rgb="FF0000FF"/>
      </top>
      <bottom style="thin">
        <color theme="1"/>
      </bottom>
      <diagonal/>
    </border>
    <border>
      <left style="medium">
        <color rgb="FF0000FF"/>
      </left>
      <right/>
      <top style="thin">
        <color theme="1"/>
      </top>
      <bottom style="medium">
        <color rgb="FF0000FF"/>
      </bottom>
      <diagonal/>
    </border>
    <border>
      <left/>
      <right/>
      <top style="thin">
        <color theme="1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theme="1"/>
      </bottom>
      <diagonal/>
    </border>
    <border>
      <left/>
      <right style="medium">
        <color rgb="FF0000FF"/>
      </right>
      <top style="thin">
        <color theme="1"/>
      </top>
      <bottom style="thin">
        <color theme="1"/>
      </bottom>
      <diagonal/>
    </border>
    <border>
      <left/>
      <right style="medium">
        <color rgb="FF0000FF"/>
      </right>
      <top style="thin">
        <color theme="1"/>
      </top>
      <bottom style="medium">
        <color rgb="FF0000FF"/>
      </bottom>
      <diagonal/>
    </border>
    <border>
      <left/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thin">
        <color theme="1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1"/>
      </left>
      <right style="medium">
        <color rgb="FF0000FF"/>
      </right>
      <top style="thin">
        <color theme="1"/>
      </top>
      <bottom style="thin">
        <color theme="1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 style="medium">
        <color rgb="FF0000FF"/>
      </left>
      <right style="medium">
        <color rgb="FF0000FF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medium">
        <color rgb="FF0000FF"/>
      </left>
      <right/>
      <top style="thin">
        <color theme="1"/>
      </top>
      <bottom/>
      <diagonal/>
    </border>
    <border>
      <left/>
      <right style="medium">
        <color rgb="FF0000FF"/>
      </right>
      <top style="thin">
        <color theme="1"/>
      </top>
      <bottom/>
      <diagonal/>
    </border>
    <border>
      <left style="medium">
        <color rgb="FF0000FF"/>
      </left>
      <right style="medium">
        <color rgb="FF0000FF"/>
      </right>
      <top style="thin">
        <color theme="1"/>
      </top>
      <bottom/>
      <diagonal/>
    </border>
    <border>
      <left style="medium">
        <color rgb="FF0000FF"/>
      </left>
      <right/>
      <top/>
      <bottom style="medium">
        <color indexed="12"/>
      </bottom>
      <diagonal/>
    </border>
    <border>
      <left/>
      <right style="medium">
        <color rgb="FF0000FF"/>
      </right>
      <top/>
      <bottom style="medium">
        <color indexed="12"/>
      </bottom>
      <diagonal/>
    </border>
    <border>
      <left/>
      <right style="medium">
        <color rgb="FF0000FF"/>
      </right>
      <top/>
      <bottom style="thin">
        <color theme="1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thin">
        <color indexed="64"/>
      </top>
      <bottom/>
      <diagonal/>
    </border>
    <border>
      <left style="medium">
        <color rgb="FF0000FF"/>
      </left>
      <right/>
      <top style="thin">
        <color auto="1"/>
      </top>
      <bottom style="thin">
        <color auto="1"/>
      </bottom>
      <diagonal/>
    </border>
    <border>
      <left style="medium">
        <color rgb="FF0000FF"/>
      </left>
      <right/>
      <top style="thin">
        <color auto="1"/>
      </top>
      <bottom style="medium">
        <color indexed="12"/>
      </bottom>
      <diagonal/>
    </border>
    <border>
      <left/>
      <right/>
      <top style="thin">
        <color auto="1"/>
      </top>
      <bottom style="medium">
        <color indexed="12"/>
      </bottom>
      <diagonal/>
    </border>
    <border>
      <left/>
      <right style="medium">
        <color indexed="12"/>
      </right>
      <top style="thin">
        <color auto="1"/>
      </top>
      <bottom style="medium">
        <color indexed="12"/>
      </bottom>
      <diagonal/>
    </border>
    <border>
      <left style="medium">
        <color indexed="12"/>
      </left>
      <right/>
      <top style="thin">
        <color auto="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theme="1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64"/>
      </right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12"/>
      </right>
      <top style="thin">
        <color auto="1"/>
      </top>
      <bottom style="thin">
        <color auto="1"/>
      </bottom>
      <diagonal/>
    </border>
    <border>
      <left style="medium">
        <color indexed="12"/>
      </left>
      <right style="medium">
        <color indexed="12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12"/>
      </bottom>
      <diagonal/>
    </border>
    <border>
      <left/>
      <right style="medium">
        <color indexed="12"/>
      </right>
      <top style="thin">
        <color auto="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auto="1"/>
      </top>
      <bottom style="medium">
        <color indexed="12"/>
      </bottom>
      <diagonal/>
    </border>
    <border>
      <left style="medium">
        <color rgb="FF0000FF"/>
      </left>
      <right/>
      <top style="medium">
        <color rgb="FF0000FF"/>
      </top>
      <bottom style="thin">
        <color rgb="FF002060"/>
      </bottom>
      <diagonal/>
    </border>
    <border>
      <left/>
      <right/>
      <top style="medium">
        <color rgb="FF0000FF"/>
      </top>
      <bottom style="thin">
        <color rgb="FF002060"/>
      </bottom>
      <diagonal/>
    </border>
    <border>
      <left/>
      <right style="medium">
        <color rgb="FF0000FF"/>
      </right>
      <top style="medium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indexed="12"/>
      </left>
      <right style="medium">
        <color indexed="12"/>
      </right>
      <top style="thin">
        <color theme="1"/>
      </top>
      <bottom style="thin">
        <color theme="1"/>
      </bottom>
      <diagonal/>
    </border>
    <border>
      <left style="medium">
        <color indexed="12"/>
      </left>
      <right style="thin">
        <color indexed="64"/>
      </right>
      <top/>
      <bottom style="medium">
        <color indexed="12"/>
      </bottom>
      <diagonal/>
    </border>
    <border>
      <left style="medium">
        <color indexed="12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rgb="FF0000FF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12"/>
      </right>
      <top/>
      <bottom style="thin">
        <color auto="1"/>
      </bottom>
      <diagonal/>
    </border>
  </borders>
  <cellStyleXfs count="2">
    <xf numFmtId="0" fontId="0" fillId="0" borderId="0"/>
    <xf numFmtId="0" fontId="66" fillId="0" borderId="0" applyNumberFormat="0" applyFill="0" applyBorder="0" applyAlignment="0" applyProtection="0"/>
  </cellStyleXfs>
  <cellXfs count="99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/>
    <xf numFmtId="0" fontId="5" fillId="2" borderId="1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6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0" borderId="8" xfId="0" applyBorder="1" applyAlignment="1">
      <alignment horizont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3" fillId="2" borderId="0" xfId="0" applyFont="1" applyFill="1"/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Continuous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1" fillId="2" borderId="2" xfId="0" applyNumberFormat="1" applyFont="1" applyFill="1" applyBorder="1" applyAlignment="1">
      <alignment horizontal="center" vertical="center"/>
    </xf>
    <xf numFmtId="164" fontId="10" fillId="2" borderId="0" xfId="0" quotePrefix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2" fillId="0" borderId="0" xfId="0" applyFont="1"/>
    <xf numFmtId="164" fontId="0" fillId="0" borderId="0" xfId="0" applyNumberFormat="1" applyFill="1"/>
    <xf numFmtId="14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2" fontId="18" fillId="3" borderId="0" xfId="0" applyNumberFormat="1" applyFont="1" applyFill="1" applyAlignment="1">
      <alignment horizontal="center"/>
    </xf>
    <xf numFmtId="8" fontId="19" fillId="0" borderId="0" xfId="0" applyNumberFormat="1" applyFont="1" applyAlignment="1">
      <alignment horizontal="left" vertical="top" wrapText="1"/>
    </xf>
    <xf numFmtId="0" fontId="19" fillId="0" borderId="0" xfId="0" applyFont="1"/>
    <xf numFmtId="14" fontId="19" fillId="0" borderId="0" xfId="0" applyNumberFormat="1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16" xfId="0" applyFont="1" applyBorder="1" applyAlignment="1">
      <alignment vertical="center" textRotation="90"/>
    </xf>
    <xf numFmtId="0" fontId="21" fillId="0" borderId="16" xfId="0" applyFont="1" applyBorder="1"/>
    <xf numFmtId="0" fontId="17" fillId="0" borderId="16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9" fontId="19" fillId="0" borderId="16" xfId="0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16" fillId="0" borderId="16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9" fontId="23" fillId="0" borderId="1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23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25" fillId="0" borderId="0" xfId="0" applyFont="1"/>
    <xf numFmtId="0" fontId="15" fillId="0" borderId="0" xfId="0" applyFont="1"/>
    <xf numFmtId="0" fontId="15" fillId="0" borderId="16" xfId="0" applyFont="1" applyBorder="1"/>
    <xf numFmtId="0" fontId="23" fillId="0" borderId="16" xfId="0" applyFont="1" applyBorder="1" applyAlignment="1">
      <alignment horizontal="right"/>
    </xf>
    <xf numFmtId="9" fontId="13" fillId="0" borderId="16" xfId="0" applyNumberFormat="1" applyFont="1" applyFill="1" applyBorder="1"/>
    <xf numFmtId="0" fontId="0" fillId="0" borderId="16" xfId="0" applyBorder="1"/>
    <xf numFmtId="9" fontId="23" fillId="0" borderId="16" xfId="0" applyNumberFormat="1" applyFont="1" applyBorder="1" applyAlignment="1">
      <alignment horizontal="center"/>
    </xf>
    <xf numFmtId="0" fontId="0" fillId="0" borderId="16" xfId="0" applyFont="1" applyBorder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0" fillId="0" borderId="16" xfId="0" applyFont="1" applyBorder="1" applyAlignment="1">
      <alignment textRotation="90"/>
    </xf>
    <xf numFmtId="0" fontId="16" fillId="0" borderId="16" xfId="0" applyFont="1" applyBorder="1"/>
    <xf numFmtId="0" fontId="17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right"/>
    </xf>
    <xf numFmtId="9" fontId="17" fillId="0" borderId="16" xfId="0" applyNumberFormat="1" applyFont="1" applyFill="1" applyBorder="1"/>
    <xf numFmtId="9" fontId="17" fillId="0" borderId="16" xfId="0" applyNumberFormat="1" applyFont="1" applyFill="1" applyBorder="1" applyAlignment="1">
      <alignment horizontal="center"/>
    </xf>
    <xf numFmtId="9" fontId="17" fillId="0" borderId="16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16" xfId="0" applyFont="1" applyBorder="1" applyAlignment="1">
      <alignment horizontal="right" vertical="center" textRotation="90"/>
    </xf>
    <xf numFmtId="0" fontId="22" fillId="0" borderId="0" xfId="0" applyFont="1"/>
    <xf numFmtId="0" fontId="13" fillId="0" borderId="16" xfId="0" applyFont="1" applyBorder="1" applyAlignment="1">
      <alignment horizontal="center"/>
    </xf>
    <xf numFmtId="9" fontId="13" fillId="0" borderId="16" xfId="0" applyNumberFormat="1" applyFont="1" applyFill="1" applyBorder="1" applyAlignment="1">
      <alignment horizontal="center"/>
    </xf>
    <xf numFmtId="9" fontId="13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2" fontId="19" fillId="0" borderId="1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/>
    <xf numFmtId="0" fontId="27" fillId="0" borderId="16" xfId="0" applyFont="1" applyBorder="1" applyAlignment="1">
      <alignment horizontal="center" vertical="top" textRotation="180" wrapText="1"/>
    </xf>
    <xf numFmtId="0" fontId="27" fillId="0" borderId="24" xfId="0" applyFont="1" applyBorder="1" applyAlignment="1">
      <alignment horizontal="center" vertical="top" textRotation="180" wrapText="1"/>
    </xf>
    <xf numFmtId="0" fontId="19" fillId="0" borderId="0" xfId="0" applyFont="1" applyAlignment="1"/>
    <xf numFmtId="164" fontId="18" fillId="2" borderId="2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8" fillId="2" borderId="2" xfId="0" quotePrefix="1" applyFont="1" applyFill="1" applyBorder="1" applyAlignment="1">
      <alignment horizontal="center" vertical="center"/>
    </xf>
    <xf numFmtId="0" fontId="18" fillId="0" borderId="0" xfId="0" applyFont="1"/>
    <xf numFmtId="0" fontId="23" fillId="2" borderId="12" xfId="0" applyFont="1" applyFill="1" applyBorder="1" applyAlignment="1">
      <alignment horizontal="center" vertical="center"/>
    </xf>
    <xf numFmtId="2" fontId="31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Protection="1"/>
    <xf numFmtId="0" fontId="0" fillId="0" borderId="0" xfId="0" applyProtection="1"/>
    <xf numFmtId="0" fontId="6" fillId="2" borderId="0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33" fillId="2" borderId="0" xfId="0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horizontal="centerContinuous"/>
    </xf>
    <xf numFmtId="14" fontId="6" fillId="2" borderId="0" xfId="0" applyNumberFormat="1" applyFont="1" applyFill="1" applyBorder="1" applyAlignment="1" applyProtection="1">
      <alignment horizontal="centerContinuous" vertical="center"/>
    </xf>
    <xf numFmtId="14" fontId="34" fillId="2" borderId="0" xfId="0" applyNumberFormat="1" applyFont="1" applyFill="1" applyBorder="1" applyAlignment="1" applyProtection="1">
      <alignment horizontal="centerContinuous" vertical="center"/>
    </xf>
    <xf numFmtId="14" fontId="35" fillId="2" borderId="0" xfId="0" applyNumberFormat="1" applyFont="1" applyFill="1" applyBorder="1" applyAlignment="1" applyProtection="1">
      <alignment horizontal="centerContinuous" vertical="center"/>
    </xf>
    <xf numFmtId="0" fontId="36" fillId="2" borderId="0" xfId="0" applyFont="1" applyFill="1" applyBorder="1" applyAlignment="1" applyProtection="1">
      <alignment horizontal="left"/>
    </xf>
    <xf numFmtId="0" fontId="35" fillId="2" borderId="0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centerContinuous"/>
    </xf>
    <xf numFmtId="2" fontId="38" fillId="2" borderId="0" xfId="0" applyNumberFormat="1" applyFont="1" applyFill="1" applyBorder="1" applyAlignment="1" applyProtection="1">
      <alignment horizontal="centerContinuous" vertical="center"/>
    </xf>
    <xf numFmtId="0" fontId="39" fillId="2" borderId="0" xfId="0" applyFont="1" applyFill="1" applyBorder="1" applyAlignment="1" applyProtection="1">
      <alignment horizontal="centerContinuous" vertical="center"/>
    </xf>
    <xf numFmtId="0" fontId="40" fillId="2" borderId="0" xfId="0" applyFont="1" applyFill="1" applyBorder="1" applyAlignment="1" applyProtection="1">
      <alignment horizontal="centerContinuous" vertical="center"/>
    </xf>
    <xf numFmtId="0" fontId="41" fillId="2" borderId="0" xfId="0" applyFont="1" applyFill="1" applyBorder="1" applyAlignment="1" applyProtection="1">
      <alignment horizontal="left"/>
    </xf>
    <xf numFmtId="0" fontId="42" fillId="2" borderId="0" xfId="0" applyFont="1" applyFill="1" applyBorder="1" applyAlignment="1" applyProtection="1">
      <alignment vertical="center"/>
    </xf>
    <xf numFmtId="2" fontId="42" fillId="2" borderId="0" xfId="0" applyNumberFormat="1" applyFont="1" applyFill="1" applyBorder="1" applyAlignment="1" applyProtection="1">
      <alignment horizontal="center" vertical="center"/>
    </xf>
    <xf numFmtId="0" fontId="43" fillId="2" borderId="27" xfId="0" applyFont="1" applyFill="1" applyBorder="1" applyAlignment="1" applyProtection="1">
      <alignment horizontal="left" vertical="center"/>
    </xf>
    <xf numFmtId="0" fontId="44" fillId="2" borderId="0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 textRotation="90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vertical="center"/>
    </xf>
    <xf numFmtId="0" fontId="23" fillId="4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49" fillId="0" borderId="0" xfId="0" applyFont="1" applyBorder="1" applyAlignment="1"/>
    <xf numFmtId="0" fontId="18" fillId="0" borderId="39" xfId="0" applyFont="1" applyBorder="1"/>
    <xf numFmtId="0" fontId="18" fillId="2" borderId="53" xfId="0" applyFont="1" applyFill="1" applyBorder="1" applyAlignment="1">
      <alignment horizontal="left" vertical="top"/>
    </xf>
    <xf numFmtId="0" fontId="18" fillId="2" borderId="54" xfId="0" applyFont="1" applyFill="1" applyBorder="1" applyAlignment="1">
      <alignment horizontal="left" vertical="top"/>
    </xf>
    <xf numFmtId="0" fontId="18" fillId="2" borderId="57" xfId="0" applyFont="1" applyFill="1" applyBorder="1" applyAlignment="1">
      <alignment horizontal="left" vertical="top"/>
    </xf>
    <xf numFmtId="0" fontId="18" fillId="2" borderId="6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6" fillId="0" borderId="0" xfId="0" applyFont="1"/>
    <xf numFmtId="0" fontId="16" fillId="0" borderId="25" xfId="0" applyFont="1" applyBorder="1" applyAlignment="1">
      <alignment horizontal="right" vertical="top"/>
    </xf>
    <xf numFmtId="0" fontId="16" fillId="0" borderId="17" xfId="0" applyFont="1" applyBorder="1"/>
    <xf numFmtId="0" fontId="16" fillId="0" borderId="67" xfId="0" applyFont="1" applyBorder="1" applyAlignment="1">
      <alignment horizontal="left"/>
    </xf>
    <xf numFmtId="0" fontId="18" fillId="2" borderId="43" xfId="0" applyFont="1" applyFill="1" applyBorder="1" applyAlignment="1">
      <alignment horizontal="left" vertical="top"/>
    </xf>
    <xf numFmtId="0" fontId="18" fillId="0" borderId="31" xfId="0" applyFont="1" applyBorder="1"/>
    <xf numFmtId="0" fontId="16" fillId="0" borderId="80" xfId="0" applyFont="1" applyBorder="1" applyAlignment="1">
      <alignment horizontal="right" vertical="top"/>
    </xf>
    <xf numFmtId="0" fontId="16" fillId="0" borderId="78" xfId="0" applyFont="1" applyBorder="1" applyAlignment="1">
      <alignment vertical="top"/>
    </xf>
    <xf numFmtId="0" fontId="23" fillId="2" borderId="39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34" fillId="0" borderId="0" xfId="0" applyFont="1" applyAlignment="1">
      <alignment wrapText="1"/>
    </xf>
    <xf numFmtId="0" fontId="0" fillId="0" borderId="0" xfId="0" applyAlignment="1">
      <alignment wrapText="1"/>
    </xf>
    <xf numFmtId="0" fontId="34" fillId="0" borderId="0" xfId="0" applyFont="1" applyBorder="1" applyAlignment="1"/>
    <xf numFmtId="0" fontId="34" fillId="0" borderId="0" xfId="0" applyFont="1" applyAlignment="1"/>
    <xf numFmtId="0" fontId="34" fillId="0" borderId="0" xfId="0" applyFont="1"/>
    <xf numFmtId="0" fontId="18" fillId="0" borderId="0" xfId="0" applyFont="1" applyAlignment="1"/>
    <xf numFmtId="0" fontId="23" fillId="0" borderId="46" xfId="0" applyFont="1" applyBorder="1" applyAlignment="1">
      <alignment horizontal="center"/>
    </xf>
    <xf numFmtId="0" fontId="18" fillId="0" borderId="45" xfId="0" applyFont="1" applyBorder="1"/>
    <xf numFmtId="0" fontId="18" fillId="0" borderId="4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8" fontId="19" fillId="0" borderId="0" xfId="0" applyNumberFormat="1" applyFont="1" applyAlignment="1">
      <alignment horizontal="left" vertical="top" wrapText="1"/>
    </xf>
    <xf numFmtId="2" fontId="54" fillId="2" borderId="0" xfId="0" applyNumberFormat="1" applyFont="1" applyFill="1" applyBorder="1" applyAlignment="1">
      <alignment horizontal="center" vertical="center"/>
    </xf>
    <xf numFmtId="164" fontId="18" fillId="2" borderId="37" xfId="0" applyNumberFormat="1" applyFont="1" applyFill="1" applyBorder="1" applyAlignment="1" applyProtection="1">
      <alignment horizontal="center" vertical="center"/>
    </xf>
    <xf numFmtId="164" fontId="18" fillId="2" borderId="40" xfId="0" applyNumberFormat="1" applyFont="1" applyFill="1" applyBorder="1" applyAlignment="1" applyProtection="1">
      <alignment horizontal="center" vertical="center"/>
    </xf>
    <xf numFmtId="164" fontId="18" fillId="4" borderId="37" xfId="0" applyNumberFormat="1" applyFont="1" applyFill="1" applyBorder="1" applyAlignment="1" applyProtection="1">
      <alignment horizontal="center" vertical="center"/>
    </xf>
    <xf numFmtId="164" fontId="18" fillId="4" borderId="36" xfId="0" applyNumberFormat="1" applyFont="1" applyFill="1" applyBorder="1" applyAlignment="1" applyProtection="1">
      <alignment horizontal="center" vertical="center"/>
    </xf>
    <xf numFmtId="164" fontId="18" fillId="2" borderId="36" xfId="0" applyNumberFormat="1" applyFont="1" applyFill="1" applyBorder="1" applyAlignment="1" applyProtection="1">
      <alignment horizontal="center" vertical="center"/>
    </xf>
    <xf numFmtId="164" fontId="18" fillId="0" borderId="14" xfId="0" applyNumberFormat="1" applyFont="1" applyBorder="1" applyAlignment="1">
      <alignment horizontal="center"/>
    </xf>
    <xf numFmtId="164" fontId="18" fillId="4" borderId="14" xfId="0" applyNumberFormat="1" applyFont="1" applyFill="1" applyBorder="1" applyAlignment="1">
      <alignment horizontal="center"/>
    </xf>
    <xf numFmtId="164" fontId="18" fillId="4" borderId="14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55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2" fontId="54" fillId="0" borderId="0" xfId="0" applyNumberFormat="1" applyFont="1" applyFill="1" applyBorder="1" applyAlignment="1">
      <alignment horizontal="center" vertical="center"/>
    </xf>
    <xf numFmtId="2" fontId="54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40" fillId="0" borderId="0" xfId="0" applyFont="1" applyFill="1" applyBorder="1" applyAlignment="1">
      <alignment horizontal="center" vertical="center"/>
    </xf>
    <xf numFmtId="0" fontId="57" fillId="0" borderId="0" xfId="0" applyFont="1" applyBorder="1"/>
    <xf numFmtId="0" fontId="52" fillId="0" borderId="0" xfId="0" applyFont="1" applyFill="1" applyBorder="1" applyAlignment="1">
      <alignment horizontal="center" vertical="center"/>
    </xf>
    <xf numFmtId="2" fontId="54" fillId="0" borderId="0" xfId="0" applyNumberFormat="1" applyFont="1" applyFill="1" applyBorder="1" applyAlignment="1" applyProtection="1">
      <alignment horizontal="center" vertical="center"/>
    </xf>
    <xf numFmtId="2" fontId="51" fillId="0" borderId="0" xfId="0" quotePrefix="1" applyNumberFormat="1" applyFont="1" applyFill="1" applyBorder="1" applyAlignment="1">
      <alignment horizontal="center" vertical="center"/>
    </xf>
    <xf numFmtId="2" fontId="5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vertical="top"/>
    </xf>
    <xf numFmtId="0" fontId="54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32" fillId="0" borderId="0" xfId="0" applyNumberFormat="1" applyFont="1" applyFill="1" applyBorder="1" applyAlignment="1"/>
    <xf numFmtId="0" fontId="36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164" fontId="54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5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8" fontId="19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0" fillId="0" borderId="85" xfId="0" applyBorder="1"/>
    <xf numFmtId="0" fontId="0" fillId="0" borderId="69" xfId="0" applyBorder="1"/>
    <xf numFmtId="0" fontId="25" fillId="0" borderId="25" xfId="0" applyFont="1" applyBorder="1" applyAlignment="1">
      <alignment horizontal="left"/>
    </xf>
    <xf numFmtId="0" fontId="25" fillId="0" borderId="85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19" fillId="0" borderId="16" xfId="0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6" fillId="0" borderId="89" xfId="0" applyNumberFormat="1" applyFont="1" applyBorder="1" applyAlignment="1">
      <alignment horizontal="center" vertical="center"/>
    </xf>
    <xf numFmtId="4" fontId="16" fillId="0" borderId="93" xfId="0" applyNumberFormat="1" applyFont="1" applyBorder="1" applyAlignment="1">
      <alignment horizontal="center" vertical="center"/>
    </xf>
    <xf numFmtId="4" fontId="16" fillId="0" borderId="97" xfId="0" applyNumberFormat="1" applyFont="1" applyBorder="1" applyAlignment="1">
      <alignment horizontal="center" vertical="center"/>
    </xf>
    <xf numFmtId="167" fontId="16" fillId="0" borderId="89" xfId="0" applyNumberFormat="1" applyFont="1" applyBorder="1" applyAlignment="1">
      <alignment horizontal="center" vertical="center"/>
    </xf>
    <xf numFmtId="167" fontId="16" fillId="0" borderId="97" xfId="0" applyNumberFormat="1" applyFont="1" applyBorder="1" applyAlignment="1">
      <alignment horizontal="center" vertical="center"/>
    </xf>
    <xf numFmtId="167" fontId="16" fillId="0" borderId="93" xfId="0" applyNumberFormat="1" applyFont="1" applyBorder="1" applyAlignment="1">
      <alignment horizontal="center" vertical="center"/>
    </xf>
    <xf numFmtId="4" fontId="16" fillId="5" borderId="89" xfId="0" applyNumberFormat="1" applyFont="1" applyFill="1" applyBorder="1" applyAlignment="1">
      <alignment horizontal="center" vertical="center"/>
    </xf>
    <xf numFmtId="4" fontId="16" fillId="5" borderId="93" xfId="0" applyNumberFormat="1" applyFont="1" applyFill="1" applyBorder="1" applyAlignment="1">
      <alignment horizontal="center" vertical="center"/>
    </xf>
    <xf numFmtId="4" fontId="16" fillId="5" borderId="16" xfId="0" applyNumberFormat="1" applyFont="1" applyFill="1" applyBorder="1" applyAlignment="1">
      <alignment horizontal="center" vertical="center"/>
    </xf>
    <xf numFmtId="4" fontId="16" fillId="5" borderId="97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 vertical="center"/>
    </xf>
    <xf numFmtId="0" fontId="16" fillId="0" borderId="104" xfId="0" applyFont="1" applyBorder="1" applyAlignment="1">
      <alignment horizontal="right" vertical="top"/>
    </xf>
    <xf numFmtId="0" fontId="16" fillId="0" borderId="83" xfId="0" applyFont="1" applyBorder="1"/>
    <xf numFmtId="0" fontId="16" fillId="0" borderId="105" xfId="0" applyFont="1" applyBorder="1" applyAlignment="1">
      <alignment horizontal="left"/>
    </xf>
    <xf numFmtId="0" fontId="23" fillId="2" borderId="36" xfId="0" applyFont="1" applyFill="1" applyBorder="1" applyAlignment="1" applyProtection="1">
      <alignment horizontal="center" vertical="center"/>
    </xf>
    <xf numFmtId="0" fontId="23" fillId="4" borderId="36" xfId="0" applyFont="1" applyFill="1" applyBorder="1" applyAlignment="1" applyProtection="1">
      <alignment horizontal="center" vertical="center"/>
    </xf>
    <xf numFmtId="0" fontId="23" fillId="2" borderId="38" xfId="0" applyFont="1" applyFill="1" applyBorder="1" applyAlignment="1" applyProtection="1">
      <alignment horizontal="center" vertical="center"/>
    </xf>
    <xf numFmtId="0" fontId="23" fillId="4" borderId="38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>
      <alignment vertical="center"/>
    </xf>
    <xf numFmtId="0" fontId="48" fillId="2" borderId="5" xfId="0" applyFont="1" applyFill="1" applyBorder="1" applyAlignment="1">
      <alignment horizontal="left"/>
    </xf>
    <xf numFmtId="0" fontId="48" fillId="0" borderId="0" xfId="0" applyFont="1" applyAlignment="1">
      <alignment horizontal="center"/>
    </xf>
    <xf numFmtId="0" fontId="18" fillId="2" borderId="0" xfId="0" applyFont="1" applyFill="1"/>
    <xf numFmtId="0" fontId="48" fillId="2" borderId="0" xfId="0" applyFont="1" applyFill="1" applyAlignment="1">
      <alignment horizontal="centerContinuous" vertical="center" wrapText="1"/>
    </xf>
    <xf numFmtId="0" fontId="62" fillId="2" borderId="0" xfId="0" applyFont="1" applyFill="1" applyAlignment="1">
      <alignment horizontal="left" vertical="center"/>
    </xf>
    <xf numFmtId="0" fontId="62" fillId="2" borderId="0" xfId="0" applyFont="1" applyFill="1" applyAlignment="1">
      <alignment vertical="center"/>
    </xf>
    <xf numFmtId="0" fontId="48" fillId="2" borderId="0" xfId="0" applyFont="1" applyFill="1" applyAlignment="1">
      <alignment horizontal="right" vertical="center"/>
    </xf>
    <xf numFmtId="0" fontId="23" fillId="2" borderId="42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47" fillId="2" borderId="0" xfId="0" applyFont="1" applyFill="1" applyAlignment="1">
      <alignment horizontal="centerContinuous" vertical="center"/>
    </xf>
    <xf numFmtId="0" fontId="18" fillId="2" borderId="0" xfId="0" applyFont="1" applyFill="1" applyAlignment="1">
      <alignment horizontal="centerContinuous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Continuous"/>
    </xf>
    <xf numFmtId="0" fontId="23" fillId="2" borderId="112" xfId="0" applyFont="1" applyFill="1" applyBorder="1" applyAlignment="1">
      <alignment horizontal="left" vertical="center"/>
    </xf>
    <xf numFmtId="0" fontId="16" fillId="0" borderId="47" xfId="0" applyFont="1" applyBorder="1"/>
    <xf numFmtId="0" fontId="16" fillId="0" borderId="48" xfId="0" applyFont="1" applyBorder="1"/>
    <xf numFmtId="0" fontId="16" fillId="0" borderId="41" xfId="0" applyFont="1" applyBorder="1"/>
    <xf numFmtId="0" fontId="16" fillId="0" borderId="42" xfId="0" applyFont="1" applyBorder="1"/>
    <xf numFmtId="0" fontId="62" fillId="2" borderId="47" xfId="0" applyFont="1" applyFill="1" applyBorder="1" applyAlignment="1">
      <alignment vertical="center"/>
    </xf>
    <xf numFmtId="0" fontId="48" fillId="2" borderId="47" xfId="0" applyFont="1" applyFill="1" applyBorder="1" applyAlignment="1">
      <alignment horizontal="right" vertical="center"/>
    </xf>
    <xf numFmtId="0" fontId="48" fillId="2" borderId="48" xfId="0" applyFont="1" applyFill="1" applyBorder="1" applyAlignment="1">
      <alignment horizontal="right" vertical="center"/>
    </xf>
    <xf numFmtId="0" fontId="62" fillId="2" borderId="41" xfId="0" applyFont="1" applyFill="1" applyBorder="1" applyAlignment="1">
      <alignment vertical="center"/>
    </xf>
    <xf numFmtId="0" fontId="48" fillId="2" borderId="41" xfId="0" applyFont="1" applyFill="1" applyBorder="1" applyAlignment="1">
      <alignment horizontal="right" vertical="center"/>
    </xf>
    <xf numFmtId="0" fontId="48" fillId="2" borderId="42" xfId="0" applyFont="1" applyFill="1" applyBorder="1" applyAlignment="1">
      <alignment horizontal="right" vertical="center"/>
    </xf>
    <xf numFmtId="0" fontId="16" fillId="0" borderId="21" xfId="0" applyFont="1" applyBorder="1"/>
    <xf numFmtId="0" fontId="16" fillId="0" borderId="22" xfId="0" applyFont="1" applyBorder="1"/>
    <xf numFmtId="0" fontId="16" fillId="0" borderId="23" xfId="0" applyFont="1" applyBorder="1"/>
    <xf numFmtId="0" fontId="16" fillId="0" borderId="85" xfId="0" applyFont="1" applyBorder="1"/>
    <xf numFmtId="0" fontId="16" fillId="0" borderId="69" xfId="0" applyFont="1" applyBorder="1"/>
    <xf numFmtId="0" fontId="62" fillId="2" borderId="85" xfId="0" applyFont="1" applyFill="1" applyBorder="1" applyAlignment="1">
      <alignment vertical="center"/>
    </xf>
    <xf numFmtId="0" fontId="62" fillId="2" borderId="69" xfId="0" applyFont="1" applyFill="1" applyBorder="1" applyAlignment="1">
      <alignment horizontal="left" vertical="center"/>
    </xf>
    <xf numFmtId="0" fontId="62" fillId="2" borderId="25" xfId="0" applyFont="1" applyFill="1" applyBorder="1" applyAlignment="1">
      <alignment vertical="center"/>
    </xf>
    <xf numFmtId="0" fontId="18" fillId="2" borderId="17" xfId="0" applyFont="1" applyFill="1" applyBorder="1"/>
    <xf numFmtId="0" fontId="48" fillId="2" borderId="17" xfId="0" applyFont="1" applyFill="1" applyBorder="1" applyAlignment="1">
      <alignment horizontal="centerContinuous" vertical="center" wrapText="1"/>
    </xf>
    <xf numFmtId="0" fontId="62" fillId="2" borderId="26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vertical="center"/>
    </xf>
    <xf numFmtId="0" fontId="16" fillId="0" borderId="26" xfId="0" applyFont="1" applyBorder="1"/>
    <xf numFmtId="4" fontId="16" fillId="3" borderId="16" xfId="0" applyNumberFormat="1" applyFont="1" applyFill="1" applyBorder="1" applyAlignment="1">
      <alignment horizontal="center" vertical="center"/>
    </xf>
    <xf numFmtId="0" fontId="46" fillId="0" borderId="103" xfId="0" applyFont="1" applyFill="1" applyBorder="1" applyAlignment="1">
      <alignment horizontal="right" vertical="center"/>
    </xf>
    <xf numFmtId="4" fontId="18" fillId="0" borderId="99" xfId="0" applyNumberFormat="1" applyFont="1" applyFill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0" fontId="18" fillId="0" borderId="100" xfId="0" applyFont="1" applyFill="1" applyBorder="1" applyAlignment="1">
      <alignment vertical="center"/>
    </xf>
    <xf numFmtId="0" fontId="18" fillId="0" borderId="102" xfId="0" applyFont="1" applyFill="1" applyBorder="1" applyAlignment="1">
      <alignment vertical="center"/>
    </xf>
    <xf numFmtId="4" fontId="18" fillId="0" borderId="102" xfId="0" applyNumberFormat="1" applyFont="1" applyFill="1" applyBorder="1" applyAlignment="1">
      <alignment horizontal="left" vertical="center"/>
    </xf>
    <xf numFmtId="0" fontId="46" fillId="0" borderId="98" xfId="0" applyFont="1" applyFill="1" applyBorder="1" applyAlignment="1">
      <alignment horizontal="right" vertical="center"/>
    </xf>
    <xf numFmtId="0" fontId="18" fillId="0" borderId="101" xfId="0" applyFont="1" applyFill="1" applyBorder="1" applyAlignment="1">
      <alignment horizontal="right" vertical="center"/>
    </xf>
    <xf numFmtId="2" fontId="16" fillId="0" borderId="16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top"/>
    </xf>
    <xf numFmtId="4" fontId="16" fillId="0" borderId="83" xfId="0" applyNumberFormat="1" applyFont="1" applyBorder="1" applyAlignment="1">
      <alignment horizontal="left" vertical="top"/>
    </xf>
    <xf numFmtId="4" fontId="16" fillId="0" borderId="78" xfId="0" applyNumberFormat="1" applyFont="1" applyBorder="1" applyAlignment="1">
      <alignment horizontal="left" vertical="top"/>
    </xf>
    <xf numFmtId="4" fontId="16" fillId="0" borderId="17" xfId="0" applyNumberFormat="1" applyFont="1" applyBorder="1" applyAlignment="1">
      <alignment horizontal="left" vertical="top"/>
    </xf>
    <xf numFmtId="4" fontId="16" fillId="0" borderId="81" xfId="0" applyNumberFormat="1" applyFont="1" applyBorder="1" applyAlignment="1">
      <alignment horizontal="left" vertical="top"/>
    </xf>
    <xf numFmtId="0" fontId="22" fillId="0" borderId="24" xfId="0" applyFont="1" applyBorder="1" applyAlignment="1">
      <alignment horizontal="center" vertical="center"/>
    </xf>
    <xf numFmtId="2" fontId="18" fillId="0" borderId="18" xfId="0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wrapText="1"/>
    </xf>
    <xf numFmtId="0" fontId="17" fillId="0" borderId="123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69" xfId="0" applyFont="1" applyBorder="1" applyAlignment="1">
      <alignment horizontal="left"/>
    </xf>
    <xf numFmtId="0" fontId="16" fillId="0" borderId="113" xfId="0" applyFont="1" applyBorder="1"/>
    <xf numFmtId="0" fontId="17" fillId="0" borderId="127" xfId="0" applyFont="1" applyBorder="1"/>
    <xf numFmtId="0" fontId="23" fillId="2" borderId="127" xfId="0" applyFont="1" applyFill="1" applyBorder="1" applyAlignment="1">
      <alignment horizontal="left" vertical="center"/>
    </xf>
    <xf numFmtId="0" fontId="17" fillId="0" borderId="114" xfId="0" applyFont="1" applyBorder="1"/>
    <xf numFmtId="0" fontId="18" fillId="2" borderId="85" xfId="0" applyFont="1" applyFill="1" applyBorder="1" applyAlignment="1">
      <alignment vertical="center"/>
    </xf>
    <xf numFmtId="0" fontId="23" fillId="0" borderId="16" xfId="0" applyFont="1" applyBorder="1" applyAlignment="1">
      <alignment horizontal="left" vertical="center"/>
    </xf>
    <xf numFmtId="4" fontId="18" fillId="0" borderId="128" xfId="0" applyNumberFormat="1" applyFont="1" applyFill="1" applyBorder="1" applyAlignment="1">
      <alignment horizontal="right" vertical="center"/>
    </xf>
    <xf numFmtId="0" fontId="16" fillId="0" borderId="89" xfId="0" applyFont="1" applyBorder="1"/>
    <xf numFmtId="0" fontId="16" fillId="5" borderId="132" xfId="0" applyFont="1" applyFill="1" applyBorder="1"/>
    <xf numFmtId="4" fontId="16" fillId="5" borderId="132" xfId="0" applyNumberFormat="1" applyFont="1" applyFill="1" applyBorder="1" applyAlignment="1">
      <alignment horizontal="center" vertical="center"/>
    </xf>
    <xf numFmtId="0" fontId="16" fillId="0" borderId="132" xfId="0" applyFont="1" applyBorder="1"/>
    <xf numFmtId="4" fontId="16" fillId="0" borderId="132" xfId="0" applyNumberFormat="1" applyFont="1" applyBorder="1" applyAlignment="1">
      <alignment horizontal="center" vertical="center"/>
    </xf>
    <xf numFmtId="0" fontId="16" fillId="5" borderId="133" xfId="0" applyFont="1" applyFill="1" applyBorder="1"/>
    <xf numFmtId="4" fontId="16" fillId="5" borderId="133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16" fillId="0" borderId="0" xfId="0" applyFont="1" applyFill="1" applyBorder="1"/>
    <xf numFmtId="4" fontId="16" fillId="0" borderId="0" xfId="0" applyNumberFormat="1" applyFont="1" applyFill="1" applyBorder="1" applyAlignment="1">
      <alignment horizontal="center" vertical="center"/>
    </xf>
    <xf numFmtId="0" fontId="64" fillId="0" borderId="21" xfId="0" applyFont="1" applyBorder="1" applyAlignment="1">
      <alignment horizontal="left" vertical="center"/>
    </xf>
    <xf numFmtId="0" fontId="17" fillId="0" borderId="136" xfId="0" applyFont="1" applyBorder="1"/>
    <xf numFmtId="2" fontId="18" fillId="5" borderId="134" xfId="0" applyNumberFormat="1" applyFont="1" applyFill="1" applyBorder="1" applyAlignment="1">
      <alignment horizontal="center" vertical="center"/>
    </xf>
    <xf numFmtId="2" fontId="18" fillId="5" borderId="135" xfId="0" applyNumberFormat="1" applyFont="1" applyFill="1" applyBorder="1" applyAlignment="1">
      <alignment horizontal="center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4" fontId="16" fillId="3" borderId="89" xfId="0" applyNumberFormat="1" applyFont="1" applyFill="1" applyBorder="1" applyAlignment="1">
      <alignment horizontal="center" vertical="center"/>
    </xf>
    <xf numFmtId="4" fontId="16" fillId="3" borderId="93" xfId="0" applyNumberFormat="1" applyFont="1" applyFill="1" applyBorder="1" applyAlignment="1">
      <alignment horizontal="center" vertical="center"/>
    </xf>
    <xf numFmtId="0" fontId="13" fillId="0" borderId="16" xfId="0" applyFont="1" applyBorder="1"/>
    <xf numFmtId="0" fontId="23" fillId="2" borderId="82" xfId="0" applyFont="1" applyFill="1" applyBorder="1" applyAlignment="1" applyProtection="1">
      <alignment horizontal="center" vertical="center"/>
    </xf>
    <xf numFmtId="164" fontId="18" fillId="2" borderId="140" xfId="0" applyNumberFormat="1" applyFont="1" applyFill="1" applyBorder="1" applyAlignment="1" applyProtection="1">
      <alignment horizontal="center" vertical="center"/>
    </xf>
    <xf numFmtId="164" fontId="18" fillId="2" borderId="141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4" fontId="16" fillId="0" borderId="13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Alignment="1"/>
    <xf numFmtId="0" fontId="30" fillId="0" borderId="0" xfId="0" applyFont="1" applyAlignment="1">
      <alignment vertical="center"/>
    </xf>
    <xf numFmtId="0" fontId="0" fillId="0" borderId="0" xfId="0" applyBorder="1" applyAlignment="1"/>
    <xf numFmtId="0" fontId="18" fillId="0" borderId="142" xfId="0" applyFont="1" applyFill="1" applyBorder="1" applyAlignment="1">
      <alignment horizontal="right" vertical="center"/>
    </xf>
    <xf numFmtId="4" fontId="18" fillId="0" borderId="128" xfId="0" applyNumberFormat="1" applyFont="1" applyFill="1" applyBorder="1" applyAlignment="1">
      <alignment vertical="center"/>
    </xf>
    <xf numFmtId="0" fontId="18" fillId="0" borderId="128" xfId="0" applyFont="1" applyFill="1" applyBorder="1" applyAlignment="1">
      <alignment horizontal="center" vertical="center"/>
    </xf>
    <xf numFmtId="0" fontId="18" fillId="0" borderId="128" xfId="0" applyFont="1" applyFill="1" applyBorder="1" applyAlignment="1">
      <alignment vertical="center"/>
    </xf>
    <xf numFmtId="164" fontId="18" fillId="0" borderId="128" xfId="0" applyNumberFormat="1" applyFont="1" applyFill="1" applyBorder="1" applyAlignment="1">
      <alignment horizontal="left" vertical="center"/>
    </xf>
    <xf numFmtId="4" fontId="18" fillId="0" borderId="128" xfId="0" applyNumberFormat="1" applyFont="1" applyFill="1" applyBorder="1" applyAlignment="1">
      <alignment horizontal="left" vertical="center"/>
    </xf>
    <xf numFmtId="0" fontId="18" fillId="0" borderId="143" xfId="0" applyFont="1" applyFill="1" applyBorder="1" applyAlignment="1">
      <alignment horizontal="right" vertical="center"/>
    </xf>
    <xf numFmtId="4" fontId="18" fillId="0" borderId="144" xfId="0" applyNumberFormat="1" applyFont="1" applyFill="1" applyBorder="1" applyAlignment="1">
      <alignment vertical="center"/>
    </xf>
    <xf numFmtId="0" fontId="18" fillId="0" borderId="144" xfId="0" applyFont="1" applyFill="1" applyBorder="1" applyAlignment="1">
      <alignment vertical="center"/>
    </xf>
    <xf numFmtId="0" fontId="18" fillId="0" borderId="145" xfId="0" applyFont="1" applyFill="1" applyBorder="1" applyAlignment="1">
      <alignment vertical="center"/>
    </xf>
    <xf numFmtId="0" fontId="18" fillId="0" borderId="146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8" fontId="19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lef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/>
    <xf numFmtId="0" fontId="16" fillId="0" borderId="0" xfId="0" applyFont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3" fillId="6" borderId="147" xfId="0" applyFont="1" applyFill="1" applyBorder="1" applyAlignment="1" applyProtection="1">
      <alignment horizontal="center" vertical="center"/>
    </xf>
    <xf numFmtId="164" fontId="18" fillId="6" borderId="148" xfId="0" applyNumberFormat="1" applyFont="1" applyFill="1" applyBorder="1" applyAlignment="1" applyProtection="1">
      <alignment horizontal="center" vertical="center"/>
    </xf>
    <xf numFmtId="164" fontId="18" fillId="6" borderId="147" xfId="0" applyNumberFormat="1" applyFont="1" applyFill="1" applyBorder="1" applyAlignment="1" applyProtection="1">
      <alignment horizontal="center" vertical="center"/>
    </xf>
    <xf numFmtId="2" fontId="19" fillId="0" borderId="59" xfId="0" applyNumberFormat="1" applyFont="1" applyBorder="1" applyAlignment="1">
      <alignment horizontal="center"/>
    </xf>
    <xf numFmtId="0" fontId="0" fillId="0" borderId="24" xfId="0" applyBorder="1"/>
    <xf numFmtId="0" fontId="22" fillId="0" borderId="69" xfId="0" applyFont="1" applyFill="1" applyBorder="1" applyAlignment="1">
      <alignment horizontal="center" vertical="center" wrapText="1"/>
    </xf>
    <xf numFmtId="0" fontId="16" fillId="5" borderId="25" xfId="0" applyFont="1" applyFill="1" applyBorder="1"/>
    <xf numFmtId="4" fontId="16" fillId="5" borderId="17" xfId="0" applyNumberFormat="1" applyFont="1" applyFill="1" applyBorder="1" applyAlignment="1">
      <alignment horizontal="center" vertical="center"/>
    </xf>
    <xf numFmtId="4" fontId="16" fillId="5" borderId="2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/>
    <xf numFmtId="0" fontId="16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8" fillId="2" borderId="151" xfId="0" applyFont="1" applyFill="1" applyBorder="1" applyAlignment="1">
      <alignment horizontal="left" vertical="top"/>
    </xf>
    <xf numFmtId="0" fontId="54" fillId="0" borderId="0" xfId="0" applyFont="1"/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/>
    <xf numFmtId="0" fontId="57" fillId="0" borderId="0" xfId="0" applyFont="1"/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wrapText="1"/>
    </xf>
    <xf numFmtId="4" fontId="16" fillId="3" borderId="115" xfId="0" applyNumberFormat="1" applyFont="1" applyFill="1" applyBorder="1" applyAlignment="1">
      <alignment horizontal="center" vertical="center"/>
    </xf>
    <xf numFmtId="4" fontId="16" fillId="3" borderId="80" xfId="0" applyNumberFormat="1" applyFont="1" applyFill="1" applyBorder="1" applyAlignment="1">
      <alignment horizontal="center" vertical="center"/>
    </xf>
    <xf numFmtId="4" fontId="16" fillId="3" borderId="117" xfId="0" applyNumberFormat="1" applyFont="1" applyFill="1" applyBorder="1" applyAlignment="1">
      <alignment horizontal="center" vertical="center"/>
    </xf>
    <xf numFmtId="4" fontId="16" fillId="3" borderId="62" xfId="0" applyNumberFormat="1" applyFont="1" applyFill="1" applyBorder="1" applyAlignment="1">
      <alignment horizontal="center" vertical="center"/>
    </xf>
    <xf numFmtId="4" fontId="16" fillId="3" borderId="124" xfId="0" applyNumberFormat="1" applyFont="1" applyFill="1" applyBorder="1" applyAlignment="1">
      <alignment horizontal="center" vertical="center"/>
    </xf>
    <xf numFmtId="4" fontId="16" fillId="3" borderId="66" xfId="0" applyNumberFormat="1" applyFont="1" applyFill="1" applyBorder="1" applyAlignment="1">
      <alignment horizontal="center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3" fillId="3" borderId="82" xfId="0" applyFont="1" applyFill="1" applyBorder="1" applyAlignment="1" applyProtection="1">
      <alignment horizontal="center" vertical="center"/>
    </xf>
    <xf numFmtId="164" fontId="18" fillId="3" borderId="153" xfId="0" applyNumberFormat="1" applyFont="1" applyFill="1" applyBorder="1" applyAlignment="1" applyProtection="1">
      <alignment horizontal="center" vertical="center"/>
    </xf>
    <xf numFmtId="164" fontId="18" fillId="3" borderId="82" xfId="0" applyNumberFormat="1" applyFont="1" applyFill="1" applyBorder="1" applyAlignment="1" applyProtection="1">
      <alignment horizontal="center" vertical="center"/>
    </xf>
    <xf numFmtId="2" fontId="0" fillId="0" borderId="0" xfId="0" applyNumberFormat="1" applyBorder="1" applyAlignment="1">
      <alignment horizontal="center" vertical="top"/>
    </xf>
    <xf numFmtId="0" fontId="19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0" fontId="50" fillId="0" borderId="8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47" fillId="0" borderId="0" xfId="0" applyFont="1" applyAlignment="1">
      <alignment horizontal="centerContinuous" vertical="center"/>
    </xf>
    <xf numFmtId="164" fontId="48" fillId="2" borderId="0" xfId="0" applyNumberFormat="1" applyFont="1" applyFill="1" applyAlignment="1">
      <alignment horizontal="center" vertical="center"/>
    </xf>
    <xf numFmtId="0" fontId="47" fillId="0" borderId="0" xfId="0" applyFont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Continuous"/>
    </xf>
    <xf numFmtId="0" fontId="47" fillId="2" borderId="0" xfId="0" applyFont="1" applyFill="1" applyAlignment="1">
      <alignment vertical="center"/>
    </xf>
    <xf numFmtId="0" fontId="23" fillId="2" borderId="0" xfId="0" applyFont="1" applyFill="1" applyAlignment="1" applyProtection="1">
      <alignment horizontal="centerContinuous" vertical="center" wrapText="1"/>
      <protection locked="0"/>
    </xf>
    <xf numFmtId="16" fontId="23" fillId="2" borderId="0" xfId="0" applyNumberFormat="1" applyFont="1" applyFill="1" applyAlignment="1" applyProtection="1">
      <alignment horizontal="centerContinuous" vertical="center" wrapText="1"/>
      <protection locked="0"/>
    </xf>
    <xf numFmtId="0" fontId="23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vertical="center"/>
    </xf>
    <xf numFmtId="0" fontId="23" fillId="2" borderId="157" xfId="0" applyFont="1" applyFill="1" applyBorder="1" applyAlignment="1">
      <alignment horizontal="left" vertical="center"/>
    </xf>
    <xf numFmtId="0" fontId="23" fillId="2" borderId="160" xfId="0" applyFont="1" applyFill="1" applyBorder="1" applyAlignment="1">
      <alignment horizontal="left" vertical="center"/>
    </xf>
    <xf numFmtId="0" fontId="48" fillId="2" borderId="0" xfId="0" applyFont="1" applyFill="1"/>
    <xf numFmtId="0" fontId="23" fillId="2" borderId="100" xfId="0" applyFont="1" applyFill="1" applyBorder="1" applyAlignment="1">
      <alignment horizontal="left" vertical="center"/>
    </xf>
    <xf numFmtId="0" fontId="48" fillId="2" borderId="0" xfId="0" applyFont="1" applyFill="1" applyAlignment="1">
      <alignment vertical="center"/>
    </xf>
    <xf numFmtId="0" fontId="48" fillId="2" borderId="69" xfId="0" applyFont="1" applyFill="1" applyBorder="1"/>
    <xf numFmtId="0" fontId="48" fillId="2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23" fillId="2" borderId="0" xfId="0" applyFont="1" applyFill="1" applyAlignment="1">
      <alignment horizontal="centerContinuous" vertical="center"/>
    </xf>
    <xf numFmtId="2" fontId="23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2" fontId="23" fillId="0" borderId="0" xfId="0" applyNumberFormat="1" applyFont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6" fillId="0" borderId="0" xfId="0" applyFont="1" applyBorder="1"/>
    <xf numFmtId="0" fontId="16" fillId="0" borderId="0" xfId="0" applyFont="1"/>
    <xf numFmtId="0" fontId="0" fillId="0" borderId="0" xfId="0"/>
    <xf numFmtId="0" fontId="23" fillId="3" borderId="141" xfId="0" applyFont="1" applyFill="1" applyBorder="1" applyAlignment="1" applyProtection="1">
      <alignment horizontal="center" vertical="center"/>
    </xf>
    <xf numFmtId="164" fontId="18" fillId="3" borderId="140" xfId="0" applyNumberFormat="1" applyFont="1" applyFill="1" applyBorder="1" applyAlignment="1" applyProtection="1">
      <alignment horizontal="center" vertical="center"/>
    </xf>
    <xf numFmtId="164" fontId="18" fillId="3" borderId="141" xfId="0" applyNumberFormat="1" applyFont="1" applyFill="1" applyBorder="1" applyAlignment="1" applyProtection="1">
      <alignment horizontal="center" vertical="center"/>
    </xf>
    <xf numFmtId="165" fontId="20" fillId="0" borderId="0" xfId="0" applyNumberFormat="1" applyFont="1" applyAlignment="1">
      <alignment horizontal="left"/>
    </xf>
    <xf numFmtId="165" fontId="20" fillId="0" borderId="0" xfId="0" applyNumberFormat="1" applyFont="1" applyAlignment="1" applyProtection="1">
      <alignment horizontal="left"/>
      <protection locked="0"/>
    </xf>
    <xf numFmtId="165" fontId="20" fillId="0" borderId="0" xfId="0" applyNumberFormat="1" applyFont="1" applyAlignment="1" applyProtection="1">
      <alignment horizontal="left"/>
    </xf>
    <xf numFmtId="0" fontId="16" fillId="0" borderId="0" xfId="0" applyFont="1"/>
    <xf numFmtId="0" fontId="0" fillId="0" borderId="0" xfId="0"/>
    <xf numFmtId="0" fontId="19" fillId="0" borderId="0" xfId="0" applyFont="1" applyAlignment="1">
      <alignment horizontal="left"/>
    </xf>
    <xf numFmtId="4" fontId="18" fillId="3" borderId="102" xfId="0" applyNumberFormat="1" applyFont="1" applyFill="1" applyBorder="1" applyAlignment="1">
      <alignment horizontal="left" vertical="center"/>
    </xf>
    <xf numFmtId="164" fontId="19" fillId="0" borderId="0" xfId="0" applyNumberFormat="1" applyFont="1"/>
    <xf numFmtId="164" fontId="19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22" fillId="0" borderId="18" xfId="0" applyFont="1" applyBorder="1" applyAlignment="1">
      <alignment horizontal="center" vertical="center" wrapText="1"/>
    </xf>
    <xf numFmtId="9" fontId="23" fillId="0" borderId="18" xfId="0" applyNumberFormat="1" applyFont="1" applyFill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4" fontId="16" fillId="0" borderId="16" xfId="0" applyNumberFormat="1" applyFont="1" applyBorder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16" fillId="0" borderId="0" xfId="0" applyFont="1"/>
    <xf numFmtId="0" fontId="0" fillId="0" borderId="0" xfId="0"/>
    <xf numFmtId="0" fontId="28" fillId="0" borderId="0" xfId="0" applyFont="1" applyAlignment="1"/>
    <xf numFmtId="14" fontId="0" fillId="0" borderId="0" xfId="0" applyNumberFormat="1" applyBorder="1"/>
    <xf numFmtId="0" fontId="27" fillId="0" borderId="5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 wrapText="1"/>
    </xf>
    <xf numFmtId="9" fontId="23" fillId="0" borderId="164" xfId="0" applyNumberFormat="1" applyFont="1" applyFill="1" applyBorder="1" applyAlignment="1">
      <alignment horizontal="center" vertical="center"/>
    </xf>
    <xf numFmtId="2" fontId="19" fillId="0" borderId="164" xfId="0" applyNumberFormat="1" applyFont="1" applyBorder="1" applyAlignment="1">
      <alignment horizontal="center" vertical="center"/>
    </xf>
    <xf numFmtId="2" fontId="16" fillId="0" borderId="164" xfId="0" applyNumberFormat="1" applyFont="1" applyBorder="1" applyAlignment="1">
      <alignment horizontal="center"/>
    </xf>
    <xf numFmtId="0" fontId="23" fillId="3" borderId="31" xfId="0" applyFont="1" applyFill="1" applyBorder="1" applyAlignment="1" applyProtection="1">
      <alignment horizontal="center" vertical="center"/>
    </xf>
    <xf numFmtId="164" fontId="18" fillId="3" borderId="166" xfId="0" applyNumberFormat="1" applyFont="1" applyFill="1" applyBorder="1" applyAlignment="1" applyProtection="1">
      <alignment horizontal="center" vertical="center"/>
    </xf>
    <xf numFmtId="164" fontId="18" fillId="3" borderId="31" xfId="0" applyNumberFormat="1" applyFont="1" applyFill="1" applyBorder="1" applyAlignment="1" applyProtection="1">
      <alignment horizontal="center" vertical="center"/>
    </xf>
    <xf numFmtId="0" fontId="23" fillId="3" borderId="165" xfId="0" applyFont="1" applyFill="1" applyBorder="1" applyAlignment="1" applyProtection="1">
      <alignment horizontal="center" vertical="center"/>
    </xf>
    <xf numFmtId="164" fontId="18" fillId="3" borderId="167" xfId="0" applyNumberFormat="1" applyFont="1" applyFill="1" applyBorder="1" applyAlignment="1" applyProtection="1">
      <alignment horizontal="center" vertical="center"/>
    </xf>
    <xf numFmtId="164" fontId="18" fillId="3" borderId="165" xfId="0" applyNumberFormat="1" applyFont="1" applyFill="1" applyBorder="1" applyAlignment="1" applyProtection="1">
      <alignment horizontal="center" vertical="center"/>
    </xf>
    <xf numFmtId="4" fontId="18" fillId="0" borderId="169" xfId="0" applyNumberFormat="1" applyFont="1" applyFill="1" applyBorder="1" applyAlignment="1">
      <alignment vertical="center"/>
    </xf>
    <xf numFmtId="0" fontId="18" fillId="0" borderId="169" xfId="0" applyFont="1" applyFill="1" applyBorder="1" applyAlignment="1">
      <alignment vertical="center"/>
    </xf>
    <xf numFmtId="0" fontId="18" fillId="0" borderId="170" xfId="0" applyFont="1" applyFill="1" applyBorder="1" applyAlignment="1">
      <alignment vertical="center"/>
    </xf>
    <xf numFmtId="4" fontId="18" fillId="0" borderId="170" xfId="0" applyNumberFormat="1" applyFont="1" applyFill="1" applyBorder="1" applyAlignment="1">
      <alignment horizontal="left" vertical="center"/>
    </xf>
    <xf numFmtId="4" fontId="18" fillId="0" borderId="155" xfId="0" applyNumberFormat="1" applyFont="1" applyFill="1" applyBorder="1" applyAlignment="1">
      <alignment vertical="center"/>
    </xf>
    <xf numFmtId="0" fontId="18" fillId="2" borderId="47" xfId="0" applyFont="1" applyFill="1" applyBorder="1" applyAlignment="1"/>
    <xf numFmtId="0" fontId="19" fillId="0" borderId="0" xfId="0" applyFont="1" applyAlignment="1">
      <alignment vertical="center"/>
    </xf>
    <xf numFmtId="0" fontId="0" fillId="3" borderId="0" xfId="0" applyFill="1"/>
    <xf numFmtId="0" fontId="54" fillId="3" borderId="0" xfId="0" applyFont="1" applyFill="1" applyAlignment="1">
      <alignment horizontal="center" vertical="center"/>
    </xf>
    <xf numFmtId="0" fontId="54" fillId="3" borderId="0" xfId="0" applyFont="1" applyFill="1" applyAlignment="1">
      <alignment horizontal="center" wrapText="1"/>
    </xf>
    <xf numFmtId="0" fontId="22" fillId="3" borderId="16" xfId="0" applyFont="1" applyFill="1" applyBorder="1" applyAlignment="1">
      <alignment horizontal="center" vertical="center" wrapText="1"/>
    </xf>
    <xf numFmtId="0" fontId="16" fillId="3" borderId="16" xfId="0" applyFont="1" applyFill="1" applyBorder="1"/>
    <xf numFmtId="0" fontId="17" fillId="3" borderId="16" xfId="0" applyFont="1" applyFill="1" applyBorder="1" applyAlignment="1">
      <alignment horizontal="center"/>
    </xf>
    <xf numFmtId="2" fontId="19" fillId="3" borderId="16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164" fontId="19" fillId="3" borderId="0" xfId="0" applyNumberFormat="1" applyFont="1" applyFill="1"/>
    <xf numFmtId="0" fontId="13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14" fontId="68" fillId="3" borderId="0" xfId="0" applyNumberFormat="1" applyFont="1" applyFill="1" applyAlignment="1">
      <alignment horizontal="left"/>
    </xf>
    <xf numFmtId="0" fontId="67" fillId="3" borderId="0" xfId="0" applyFont="1" applyFill="1"/>
    <xf numFmtId="0" fontId="18" fillId="0" borderId="168" xfId="0" applyFont="1" applyFill="1" applyBorder="1" applyAlignment="1">
      <alignment horizontal="right" vertical="center"/>
    </xf>
    <xf numFmtId="0" fontId="0" fillId="3" borderId="0" xfId="0" applyFill="1" applyBorder="1"/>
    <xf numFmtId="0" fontId="0" fillId="0" borderId="0" xfId="0" applyBorder="1" applyAlignment="1">
      <alignment vertical="center"/>
    </xf>
    <xf numFmtId="164" fontId="67" fillId="3" borderId="0" xfId="0" applyNumberFormat="1" applyFont="1" applyFill="1"/>
    <xf numFmtId="14" fontId="67" fillId="3" borderId="0" xfId="0" applyNumberFormat="1" applyFont="1" applyFill="1"/>
    <xf numFmtId="0" fontId="0" fillId="0" borderId="85" xfId="0" applyBorder="1" applyAlignment="1">
      <alignment horizontal="center" vertical="top"/>
    </xf>
    <xf numFmtId="0" fontId="0" fillId="0" borderId="0" xfId="0"/>
    <xf numFmtId="0" fontId="0" fillId="0" borderId="0" xfId="0"/>
    <xf numFmtId="4" fontId="16" fillId="5" borderId="24" xfId="0" applyNumberFormat="1" applyFont="1" applyFill="1" applyBorder="1" applyAlignment="1">
      <alignment horizontal="center" vertical="center"/>
    </xf>
    <xf numFmtId="4" fontId="18" fillId="3" borderId="169" xfId="0" applyNumberFormat="1" applyFont="1" applyFill="1" applyBorder="1" applyAlignment="1">
      <alignment vertical="center"/>
    </xf>
    <xf numFmtId="164" fontId="18" fillId="0" borderId="169" xfId="0" applyNumberFormat="1" applyFont="1" applyFill="1" applyBorder="1" applyAlignment="1">
      <alignment horizontal="left" vertical="center"/>
    </xf>
    <xf numFmtId="4" fontId="18" fillId="3" borderId="99" xfId="0" applyNumberFormat="1" applyFont="1" applyFill="1" applyBorder="1" applyAlignment="1">
      <alignment vertical="center"/>
    </xf>
    <xf numFmtId="0" fontId="18" fillId="3" borderId="99" xfId="0" applyFont="1" applyFill="1" applyBorder="1" applyAlignment="1">
      <alignment vertical="center"/>
    </xf>
    <xf numFmtId="0" fontId="18" fillId="3" borderId="100" xfId="0" applyFont="1" applyFill="1" applyBorder="1" applyAlignment="1">
      <alignment vertical="center"/>
    </xf>
    <xf numFmtId="0" fontId="18" fillId="3" borderId="169" xfId="0" applyFont="1" applyFill="1" applyBorder="1" applyAlignment="1">
      <alignment horizontal="center" vertical="center"/>
    </xf>
    <xf numFmtId="4" fontId="18" fillId="3" borderId="170" xfId="0" applyNumberFormat="1" applyFont="1" applyFill="1" applyBorder="1" applyAlignment="1">
      <alignment horizontal="left" vertical="center"/>
    </xf>
    <xf numFmtId="0" fontId="18" fillId="3" borderId="169" xfId="0" applyFont="1" applyFill="1" applyBorder="1" applyAlignment="1">
      <alignment vertical="center"/>
    </xf>
    <xf numFmtId="4" fontId="16" fillId="3" borderId="169" xfId="0" applyNumberFormat="1" applyFont="1" applyFill="1" applyBorder="1" applyAlignment="1">
      <alignment vertical="center"/>
    </xf>
    <xf numFmtId="4" fontId="16" fillId="3" borderId="128" xfId="0" applyNumberFormat="1" applyFont="1" applyFill="1" applyBorder="1" applyAlignment="1">
      <alignment horizontal="right" vertical="center"/>
    </xf>
    <xf numFmtId="164" fontId="16" fillId="3" borderId="169" xfId="0" applyNumberFormat="1" applyFont="1" applyFill="1" applyBorder="1" applyAlignment="1">
      <alignment horizontal="left" vertical="center"/>
    </xf>
    <xf numFmtId="0" fontId="16" fillId="3" borderId="169" xfId="0" applyFont="1" applyFill="1" applyBorder="1" applyAlignment="1">
      <alignment vertical="center"/>
    </xf>
    <xf numFmtId="4" fontId="16" fillId="3" borderId="169" xfId="0" applyNumberFormat="1" applyFont="1" applyFill="1" applyBorder="1" applyAlignment="1">
      <alignment horizontal="left" vertical="center"/>
    </xf>
    <xf numFmtId="0" fontId="16" fillId="3" borderId="170" xfId="0" applyFont="1" applyFill="1" applyBorder="1" applyAlignment="1">
      <alignment vertical="center"/>
    </xf>
    <xf numFmtId="4" fontId="18" fillId="3" borderId="128" xfId="0" applyNumberFormat="1" applyFont="1" applyFill="1" applyBorder="1" applyAlignment="1">
      <alignment vertical="center"/>
    </xf>
    <xf numFmtId="0" fontId="18" fillId="3" borderId="128" xfId="0" applyFont="1" applyFill="1" applyBorder="1" applyAlignment="1">
      <alignment horizontal="center" vertical="center"/>
    </xf>
    <xf numFmtId="0" fontId="18" fillId="3" borderId="128" xfId="0" applyFont="1" applyFill="1" applyBorder="1" applyAlignment="1">
      <alignment vertical="center"/>
    </xf>
    <xf numFmtId="4" fontId="18" fillId="3" borderId="128" xfId="0" applyNumberFormat="1" applyFont="1" applyFill="1" applyBorder="1" applyAlignment="1">
      <alignment horizontal="right" vertical="center"/>
    </xf>
    <xf numFmtId="164" fontId="18" fillId="3" borderId="128" xfId="0" applyNumberFormat="1" applyFont="1" applyFill="1" applyBorder="1" applyAlignment="1">
      <alignment horizontal="left" vertical="center"/>
    </xf>
    <xf numFmtId="4" fontId="18" fillId="3" borderId="128" xfId="0" applyNumberFormat="1" applyFont="1" applyFill="1" applyBorder="1" applyAlignment="1">
      <alignment horizontal="left" vertical="center"/>
    </xf>
    <xf numFmtId="0" fontId="18" fillId="3" borderId="102" xfId="0" applyFont="1" applyFill="1" applyBorder="1" applyAlignment="1">
      <alignment vertical="center"/>
    </xf>
    <xf numFmtId="4" fontId="18" fillId="3" borderId="144" xfId="0" applyNumberFormat="1" applyFont="1" applyFill="1" applyBorder="1" applyAlignment="1">
      <alignment vertical="center"/>
    </xf>
    <xf numFmtId="0" fontId="18" fillId="3" borderId="144" xfId="0" applyFont="1" applyFill="1" applyBorder="1" applyAlignment="1">
      <alignment vertical="center"/>
    </xf>
    <xf numFmtId="0" fontId="18" fillId="3" borderId="145" xfId="0" applyFont="1" applyFill="1" applyBorder="1" applyAlignment="1">
      <alignment vertical="center"/>
    </xf>
    <xf numFmtId="4" fontId="16" fillId="0" borderId="86" xfId="0" applyNumberFormat="1" applyFont="1" applyBorder="1" applyAlignment="1">
      <alignment horizontal="center" vertical="center"/>
    </xf>
    <xf numFmtId="14" fontId="24" fillId="3" borderId="0" xfId="0" applyNumberFormat="1" applyFont="1" applyFill="1" applyAlignment="1">
      <alignment horizontal="left"/>
    </xf>
    <xf numFmtId="14" fontId="24" fillId="3" borderId="0" xfId="0" applyNumberFormat="1" applyFont="1" applyFill="1"/>
    <xf numFmtId="4" fontId="70" fillId="3" borderId="0" xfId="0" applyNumberFormat="1" applyFont="1" applyFill="1"/>
    <xf numFmtId="0" fontId="70" fillId="3" borderId="0" xfId="0" applyFont="1" applyFill="1"/>
    <xf numFmtId="0" fontId="24" fillId="3" borderId="0" xfId="0" applyFont="1" applyFill="1"/>
    <xf numFmtId="164" fontId="70" fillId="3" borderId="0" xfId="0" applyNumberFormat="1" applyFont="1" applyFill="1"/>
    <xf numFmtId="14" fontId="70" fillId="3" borderId="0" xfId="0" applyNumberFormat="1" applyFont="1" applyFill="1"/>
    <xf numFmtId="4" fontId="24" fillId="3" borderId="0" xfId="0" applyNumberFormat="1" applyFont="1" applyFill="1"/>
    <xf numFmtId="0" fontId="71" fillId="3" borderId="0" xfId="1" applyFont="1" applyFill="1"/>
    <xf numFmtId="0" fontId="70" fillId="3" borderId="0" xfId="0" applyFont="1" applyFill="1" applyAlignment="1">
      <alignment horizontal="left"/>
    </xf>
    <xf numFmtId="167" fontId="70" fillId="3" borderId="0" xfId="0" applyNumberFormat="1" applyFont="1" applyFill="1"/>
    <xf numFmtId="4" fontId="70" fillId="3" borderId="0" xfId="0" applyNumberFormat="1" applyFont="1" applyFill="1" applyAlignment="1">
      <alignment horizontal="right"/>
    </xf>
    <xf numFmtId="168" fontId="70" fillId="3" borderId="0" xfId="0" applyNumberFormat="1" applyFont="1" applyFill="1"/>
    <xf numFmtId="0" fontId="70" fillId="0" borderId="0" xfId="0" applyFont="1"/>
    <xf numFmtId="4" fontId="70" fillId="0" borderId="0" xfId="0" applyNumberFormat="1" applyFont="1"/>
    <xf numFmtId="164" fontId="70" fillId="0" borderId="0" xfId="0" applyNumberFormat="1" applyFont="1"/>
    <xf numFmtId="0" fontId="24" fillId="0" borderId="0" xfId="0" applyFont="1"/>
    <xf numFmtId="0" fontId="54" fillId="0" borderId="0" xfId="0" applyFont="1" applyAlignment="1">
      <alignment horizontal="center"/>
    </xf>
    <xf numFmtId="0" fontId="54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7" fillId="0" borderId="19" xfId="0" applyFont="1" applyBorder="1" applyAlignment="1">
      <alignment vertical="center"/>
    </xf>
    <xf numFmtId="0" fontId="57" fillId="0" borderId="20" xfId="0" applyFont="1" applyBorder="1" applyAlignment="1">
      <alignment vertical="center"/>
    </xf>
    <xf numFmtId="0" fontId="57" fillId="0" borderId="0" xfId="0" applyFont="1" applyAlignment="1">
      <alignment horizontal="center"/>
    </xf>
    <xf numFmtId="0" fontId="54" fillId="0" borderId="19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129" xfId="0" applyFont="1" applyBorder="1" applyAlignment="1">
      <alignment horizontal="left" vertical="center"/>
    </xf>
    <xf numFmtId="0" fontId="21" fillId="0" borderId="130" xfId="0" applyFont="1" applyBorder="1" applyAlignment="1">
      <alignment horizontal="left" vertical="center"/>
    </xf>
    <xf numFmtId="0" fontId="21" fillId="0" borderId="131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7" fillId="0" borderId="2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7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8" fontId="19" fillId="0" borderId="0" xfId="0" applyNumberFormat="1" applyFont="1" applyAlignment="1">
      <alignment horizontal="left" vertical="top" wrapText="1"/>
    </xf>
    <xf numFmtId="8" fontId="19" fillId="0" borderId="5" xfId="0" applyNumberFormat="1" applyFont="1" applyBorder="1" applyAlignment="1">
      <alignment horizontal="left" vertical="top" wrapText="1"/>
    </xf>
    <xf numFmtId="165" fontId="20" fillId="0" borderId="0" xfId="0" applyNumberFormat="1" applyFont="1" applyAlignment="1" applyProtection="1">
      <alignment horizontal="left"/>
      <protection locked="0"/>
    </xf>
    <xf numFmtId="165" fontId="20" fillId="0" borderId="5" xfId="0" applyNumberFormat="1" applyFont="1" applyBorder="1" applyAlignment="1" applyProtection="1">
      <alignment horizontal="left"/>
      <protection locked="0"/>
    </xf>
    <xf numFmtId="14" fontId="9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0" fontId="29" fillId="2" borderId="0" xfId="0" applyFont="1" applyFill="1" applyBorder="1" applyAlignment="1">
      <alignment horizontal="left" vertical="center"/>
    </xf>
    <xf numFmtId="0" fontId="12" fillId="0" borderId="0" xfId="0" applyFont="1" applyAlignment="1"/>
    <xf numFmtId="0" fontId="29" fillId="2" borderId="5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66" fontId="9" fillId="2" borderId="28" xfId="0" applyNumberFormat="1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0" fillId="0" borderId="30" xfId="0" applyBorder="1" applyAlignment="1"/>
    <xf numFmtId="165" fontId="20" fillId="0" borderId="0" xfId="0" applyNumberFormat="1" applyFont="1" applyAlignment="1" applyProtection="1">
      <alignment horizontal="left"/>
    </xf>
    <xf numFmtId="165" fontId="20" fillId="0" borderId="5" xfId="0" applyNumberFormat="1" applyFont="1" applyBorder="1" applyAlignment="1" applyProtection="1">
      <alignment horizontal="left"/>
    </xf>
    <xf numFmtId="0" fontId="19" fillId="0" borderId="0" xfId="0" applyFont="1" applyAlignment="1">
      <alignment horizontal="left" vertical="top"/>
    </xf>
    <xf numFmtId="0" fontId="48" fillId="2" borderId="0" xfId="0" applyFont="1" applyFill="1"/>
    <xf numFmtId="0" fontId="48" fillId="2" borderId="69" xfId="0" applyFont="1" applyFill="1" applyBorder="1"/>
    <xf numFmtId="0" fontId="18" fillId="0" borderId="16" xfId="0" applyFont="1" applyBorder="1" applyAlignment="1">
      <alignment horizontal="left"/>
    </xf>
    <xf numFmtId="2" fontId="18" fillId="2" borderId="49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46" fillId="2" borderId="112" xfId="0" applyFont="1" applyFill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2" fontId="18" fillId="2" borderId="112" xfId="0" applyNumberFormat="1" applyFont="1" applyFill="1" applyBorder="1" applyAlignment="1">
      <alignment horizontal="center" vertical="center"/>
    </xf>
    <xf numFmtId="0" fontId="48" fillId="2" borderId="85" xfId="0" applyFont="1" applyFill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6" fillId="0" borderId="99" xfId="0" applyFont="1" applyBorder="1"/>
    <xf numFmtId="0" fontId="16" fillId="0" borderId="100" xfId="0" applyFont="1" applyBorder="1"/>
    <xf numFmtId="0" fontId="18" fillId="0" borderId="16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2" fontId="18" fillId="5" borderId="16" xfId="0" applyNumberFormat="1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6" fillId="0" borderId="158" xfId="0" applyFont="1" applyBorder="1"/>
    <xf numFmtId="0" fontId="16" fillId="0" borderId="159" xfId="0" applyFont="1" applyBorder="1"/>
    <xf numFmtId="0" fontId="18" fillId="2" borderId="160" xfId="0" applyFont="1" applyFill="1" applyBorder="1" applyAlignment="1">
      <alignment horizontal="center" vertical="center"/>
    </xf>
    <xf numFmtId="0" fontId="16" fillId="0" borderId="160" xfId="0" applyFont="1" applyBorder="1" applyAlignment="1">
      <alignment vertical="center"/>
    </xf>
    <xf numFmtId="2" fontId="18" fillId="2" borderId="160" xfId="0" applyNumberFormat="1" applyFont="1" applyFill="1" applyBorder="1" applyAlignment="1">
      <alignment horizontal="center" vertical="center"/>
    </xf>
    <xf numFmtId="0" fontId="46" fillId="0" borderId="112" xfId="0" applyFont="1" applyBorder="1" applyAlignment="1">
      <alignment vertical="center"/>
    </xf>
    <xf numFmtId="0" fontId="18" fillId="2" borderId="112" xfId="0" applyFont="1" applyFill="1" applyBorder="1" applyAlignment="1">
      <alignment horizontal="center" vertical="center"/>
    </xf>
    <xf numFmtId="0" fontId="46" fillId="2" borderId="157" xfId="0" applyFont="1" applyFill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2" fontId="18" fillId="2" borderId="157" xfId="0" applyNumberFormat="1" applyFont="1" applyFill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16" fillId="0" borderId="44" xfId="0" applyFont="1" applyBorder="1" applyAlignment="1">
      <alignment vertical="center"/>
    </xf>
    <xf numFmtId="2" fontId="23" fillId="2" borderId="45" xfId="0" applyNumberFormat="1" applyFont="1" applyFill="1" applyBorder="1" applyAlignment="1">
      <alignment horizontal="right" vertical="center"/>
    </xf>
    <xf numFmtId="0" fontId="18" fillId="2" borderId="41" xfId="0" applyFont="1" applyFill="1" applyBorder="1" applyAlignment="1">
      <alignment horizontal="right" vertical="center"/>
    </xf>
    <xf numFmtId="2" fontId="23" fillId="2" borderId="41" xfId="0" applyNumberFormat="1" applyFont="1" applyFill="1" applyBorder="1" applyAlignment="1">
      <alignment horizontal="right" vertical="center"/>
    </xf>
    <xf numFmtId="0" fontId="16" fillId="0" borderId="112" xfId="0" applyFont="1" applyBorder="1" applyAlignment="1">
      <alignment vertical="center"/>
    </xf>
    <xf numFmtId="0" fontId="0" fillId="0" borderId="99" xfId="0" applyBorder="1"/>
    <xf numFmtId="0" fontId="0" fillId="0" borderId="100" xfId="0" applyBorder="1"/>
    <xf numFmtId="0" fontId="18" fillId="2" borderId="157" xfId="0" applyFont="1" applyFill="1" applyBorder="1" applyAlignment="1">
      <alignment horizontal="center" vertical="center"/>
    </xf>
    <xf numFmtId="0" fontId="0" fillId="0" borderId="157" xfId="0" applyBorder="1" applyAlignment="1">
      <alignment vertical="center"/>
    </xf>
    <xf numFmtId="0" fontId="48" fillId="2" borderId="0" xfId="0" applyFont="1" applyFill="1" applyAlignment="1">
      <alignment horizontal="left"/>
    </xf>
    <xf numFmtId="0" fontId="16" fillId="0" borderId="0" xfId="0" applyFont="1"/>
    <xf numFmtId="14" fontId="48" fillId="2" borderId="154" xfId="0" applyNumberFormat="1" applyFont="1" applyFill="1" applyBorder="1" applyAlignment="1">
      <alignment horizontal="left"/>
    </xf>
    <xf numFmtId="0" fontId="16" fillId="0" borderId="154" xfId="0" applyFont="1" applyBorder="1" applyAlignment="1">
      <alignment horizontal="left"/>
    </xf>
    <xf numFmtId="0" fontId="48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2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9" fillId="2" borderId="4" xfId="0" applyFont="1" applyFill="1" applyBorder="1" applyAlignment="1">
      <alignment horizontal="left" vertical="top"/>
    </xf>
    <xf numFmtId="0" fontId="29" fillId="2" borderId="0" xfId="0" applyFont="1" applyFill="1" applyAlignment="1">
      <alignment horizontal="left" vertical="top"/>
    </xf>
    <xf numFmtId="0" fontId="29" fillId="2" borderId="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18" fillId="0" borderId="157" xfId="0" applyFont="1" applyBorder="1" applyAlignment="1">
      <alignment vertical="center"/>
    </xf>
    <xf numFmtId="0" fontId="48" fillId="2" borderId="11" xfId="0" applyFont="1" applyFill="1" applyBorder="1" applyAlignment="1">
      <alignment horizontal="left"/>
    </xf>
    <xf numFmtId="0" fontId="16" fillId="0" borderId="11" xfId="0" applyFont="1" applyBorder="1" applyAlignment="1">
      <alignment horizontal="left"/>
    </xf>
    <xf numFmtId="14" fontId="48" fillId="2" borderId="0" xfId="0" applyNumberFormat="1" applyFont="1" applyFill="1" applyAlignment="1" applyProtection="1">
      <alignment horizontal="left" vertical="center"/>
      <protection locked="0"/>
    </xf>
    <xf numFmtId="14" fontId="16" fillId="0" borderId="0" xfId="0" applyNumberFormat="1" applyFont="1" applyAlignment="1">
      <alignment vertical="center"/>
    </xf>
    <xf numFmtId="2" fontId="48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16" fontId="48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7" fillId="2" borderId="27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vertical="center" wrapText="1"/>
    </xf>
    <xf numFmtId="0" fontId="16" fillId="0" borderId="155" xfId="0" applyFont="1" applyBorder="1"/>
    <xf numFmtId="0" fontId="0" fillId="0" borderId="155" xfId="0" applyBorder="1"/>
    <xf numFmtId="0" fontId="0" fillId="0" borderId="156" xfId="0" applyBorder="1"/>
    <xf numFmtId="0" fontId="61" fillId="2" borderId="155" xfId="0" applyFont="1" applyFill="1" applyBorder="1"/>
    <xf numFmtId="0" fontId="61" fillId="2" borderId="158" xfId="0" applyFont="1" applyFill="1" applyBorder="1"/>
    <xf numFmtId="0" fontId="0" fillId="0" borderId="158" xfId="0" applyBorder="1"/>
    <xf numFmtId="0" fontId="0" fillId="0" borderId="159" xfId="0" applyBorder="1"/>
    <xf numFmtId="0" fontId="0" fillId="0" borderId="0" xfId="0"/>
    <xf numFmtId="0" fontId="0" fillId="0" borderId="52" xfId="0" applyBorder="1"/>
    <xf numFmtId="0" fontId="48" fillId="2" borderId="27" xfId="0" applyFont="1" applyFill="1" applyBorder="1" applyAlignment="1" applyProtection="1">
      <alignment horizontal="center" vertical="center" wrapText="1"/>
      <protection locked="0"/>
    </xf>
    <xf numFmtId="0" fontId="50" fillId="0" borderId="85" xfId="0" applyFont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0" fontId="18" fillId="2" borderId="50" xfId="0" applyFont="1" applyFill="1" applyBorder="1" applyAlignment="1">
      <alignment horizontal="center" vertical="center"/>
    </xf>
    <xf numFmtId="0" fontId="16" fillId="0" borderId="161" xfId="0" applyFont="1" applyBorder="1"/>
    <xf numFmtId="0" fontId="0" fillId="0" borderId="162" xfId="0" applyBorder="1"/>
    <xf numFmtId="0" fontId="0" fillId="0" borderId="163" xfId="0" applyBorder="1"/>
    <xf numFmtId="0" fontId="16" fillId="0" borderId="41" xfId="0" applyFont="1" applyBorder="1"/>
    <xf numFmtId="0" fontId="0" fillId="0" borderId="41" xfId="0" applyBorder="1"/>
    <xf numFmtId="0" fontId="0" fillId="0" borderId="42" xfId="0" applyBorder="1"/>
    <xf numFmtId="0" fontId="16" fillId="0" borderId="29" xfId="0" applyFont="1" applyBorder="1"/>
    <xf numFmtId="0" fontId="16" fillId="0" borderId="30" xfId="0" applyFont="1" applyBorder="1"/>
    <xf numFmtId="0" fontId="16" fillId="0" borderId="52" xfId="0" applyFont="1" applyBorder="1"/>
    <xf numFmtId="0" fontId="19" fillId="2" borderId="85" xfId="0" applyFont="1" applyFill="1" applyBorder="1" applyAlignment="1">
      <alignment horizontal="center" vertical="center"/>
    </xf>
    <xf numFmtId="0" fontId="16" fillId="0" borderId="80" xfId="0" applyFont="1" applyBorder="1" applyAlignment="1">
      <alignment horizontal="center"/>
    </xf>
    <xf numFmtId="0" fontId="16" fillId="0" borderId="120" xfId="0" applyFont="1" applyBorder="1" applyAlignment="1">
      <alignment horizontal="center"/>
    </xf>
    <xf numFmtId="0" fontId="16" fillId="0" borderId="117" xfId="0" applyFont="1" applyBorder="1" applyAlignment="1">
      <alignment horizontal="center"/>
    </xf>
    <xf numFmtId="0" fontId="16" fillId="0" borderId="121" xfId="0" applyFont="1" applyBorder="1" applyAlignment="1">
      <alignment horizontal="center"/>
    </xf>
    <xf numFmtId="0" fontId="18" fillId="2" borderId="127" xfId="0" applyFont="1" applyFill="1" applyBorder="1" applyAlignment="1">
      <alignment horizontal="center" vertical="center"/>
    </xf>
    <xf numFmtId="0" fontId="16" fillId="0" borderId="127" xfId="0" applyFont="1" applyBorder="1" applyAlignment="1">
      <alignment vertical="center"/>
    </xf>
    <xf numFmtId="0" fontId="16" fillId="0" borderId="127" xfId="0" applyFont="1" applyBorder="1" applyAlignment="1">
      <alignment horizontal="center"/>
    </xf>
    <xf numFmtId="0" fontId="16" fillId="0" borderId="115" xfId="0" applyFont="1" applyBorder="1" applyAlignment="1">
      <alignment horizontal="left"/>
    </xf>
    <xf numFmtId="0" fontId="16" fillId="0" borderId="116" xfId="0" applyFont="1" applyBorder="1" applyAlignment="1">
      <alignment horizontal="left"/>
    </xf>
    <xf numFmtId="0" fontId="16" fillId="0" borderId="119" xfId="0" applyFont="1" applyBorder="1" applyAlignment="1">
      <alignment horizontal="left"/>
    </xf>
    <xf numFmtId="0" fontId="16" fillId="0" borderId="80" xfId="0" applyFont="1" applyBorder="1" applyAlignment="1">
      <alignment horizontal="center" vertical="center"/>
    </xf>
    <xf numFmtId="0" fontId="0" fillId="0" borderId="120" xfId="0" applyBorder="1" applyAlignment="1">
      <alignment horizontal="center"/>
    </xf>
    <xf numFmtId="0" fontId="18" fillId="2" borderId="134" xfId="0" applyFont="1" applyFill="1" applyBorder="1" applyAlignment="1">
      <alignment horizontal="left" vertical="center"/>
    </xf>
    <xf numFmtId="0" fontId="18" fillId="2" borderId="84" xfId="0" applyFont="1" applyFill="1" applyBorder="1" applyAlignment="1">
      <alignment horizontal="left" vertical="center"/>
    </xf>
    <xf numFmtId="0" fontId="18" fillId="2" borderId="135" xfId="0" applyFont="1" applyFill="1" applyBorder="1" applyAlignment="1">
      <alignment horizontal="left" vertical="center"/>
    </xf>
    <xf numFmtId="0" fontId="0" fillId="0" borderId="8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9" xfId="0" applyBorder="1" applyAlignment="1">
      <alignment horizontal="left"/>
    </xf>
    <xf numFmtId="0" fontId="16" fillId="0" borderId="134" xfId="0" applyFont="1" applyBorder="1"/>
    <xf numFmtId="0" fontId="16" fillId="0" borderId="84" xfId="0" applyFont="1" applyBorder="1"/>
    <xf numFmtId="0" fontId="16" fillId="0" borderId="135" xfId="0" applyFont="1" applyBorder="1"/>
    <xf numFmtId="0" fontId="16" fillId="0" borderId="104" xfId="0" applyFont="1" applyBorder="1"/>
    <xf numFmtId="0" fontId="16" fillId="0" borderId="83" xfId="0" applyFont="1" applyBorder="1"/>
    <xf numFmtId="0" fontId="16" fillId="0" borderId="139" xfId="0" applyFont="1" applyBorder="1"/>
    <xf numFmtId="0" fontId="25" fillId="0" borderId="85" xfId="0" applyFont="1" applyBorder="1" applyAlignment="1">
      <alignment horizontal="center" vertical="center"/>
    </xf>
    <xf numFmtId="0" fontId="0" fillId="0" borderId="85" xfId="0" applyBorder="1" applyAlignment="1">
      <alignment vertical="center"/>
    </xf>
    <xf numFmtId="0" fontId="16" fillId="0" borderId="115" xfId="0" applyFont="1" applyBorder="1" applyAlignment="1">
      <alignment horizontal="center"/>
    </xf>
    <xf numFmtId="0" fontId="16" fillId="0" borderId="119" xfId="0" applyFont="1" applyBorder="1" applyAlignment="1">
      <alignment horizontal="center"/>
    </xf>
    <xf numFmtId="2" fontId="16" fillId="0" borderId="80" xfId="0" applyNumberFormat="1" applyFont="1" applyBorder="1" applyAlignment="1">
      <alignment horizontal="center"/>
    </xf>
    <xf numFmtId="2" fontId="16" fillId="0" borderId="117" xfId="0" applyNumberFormat="1" applyFont="1" applyBorder="1" applyAlignment="1">
      <alignment horizontal="center"/>
    </xf>
    <xf numFmtId="2" fontId="16" fillId="5" borderId="80" xfId="0" applyNumberFormat="1" applyFont="1" applyFill="1" applyBorder="1" applyAlignment="1">
      <alignment horizontal="center"/>
    </xf>
    <xf numFmtId="2" fontId="16" fillId="5" borderId="120" xfId="0" applyNumberFormat="1" applyFont="1" applyFill="1" applyBorder="1" applyAlignment="1">
      <alignment horizontal="center"/>
    </xf>
    <xf numFmtId="2" fontId="16" fillId="5" borderId="117" xfId="0" applyNumberFormat="1" applyFont="1" applyFill="1" applyBorder="1" applyAlignment="1">
      <alignment horizontal="center"/>
    </xf>
    <xf numFmtId="2" fontId="16" fillId="5" borderId="121" xfId="0" applyNumberFormat="1" applyFont="1" applyFill="1" applyBorder="1" applyAlignment="1">
      <alignment horizontal="center"/>
    </xf>
    <xf numFmtId="2" fontId="18" fillId="5" borderId="80" xfId="0" applyNumberFormat="1" applyFont="1" applyFill="1" applyBorder="1" applyAlignment="1">
      <alignment horizontal="center" vertical="center"/>
    </xf>
    <xf numFmtId="2" fontId="18" fillId="5" borderId="120" xfId="0" applyNumberFormat="1" applyFont="1" applyFill="1" applyBorder="1" applyAlignment="1">
      <alignment horizontal="center" vertical="center"/>
    </xf>
    <xf numFmtId="0" fontId="16" fillId="0" borderId="137" xfId="0" applyFont="1" applyBorder="1"/>
    <xf numFmtId="0" fontId="16" fillId="0" borderId="138" xfId="0" applyFont="1" applyBorder="1"/>
    <xf numFmtId="0" fontId="16" fillId="0" borderId="80" xfId="0" applyFont="1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120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21" fillId="0" borderId="90" xfId="0" applyFont="1" applyBorder="1" applyAlignment="1">
      <alignment horizontal="left" vertical="center"/>
    </xf>
    <xf numFmtId="0" fontId="21" fillId="0" borderId="91" xfId="0" applyFont="1" applyBorder="1" applyAlignment="1">
      <alignment horizontal="left" vertical="center"/>
    </xf>
    <xf numFmtId="0" fontId="21" fillId="0" borderId="92" xfId="0" applyFont="1" applyBorder="1" applyAlignment="1">
      <alignment horizontal="left" vertical="center"/>
    </xf>
    <xf numFmtId="0" fontId="60" fillId="0" borderId="19" xfId="0" applyFont="1" applyBorder="1" applyAlignment="1">
      <alignment vertical="center"/>
    </xf>
    <xf numFmtId="0" fontId="60" fillId="0" borderId="20" xfId="0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60" fillId="0" borderId="22" xfId="0" applyFont="1" applyBorder="1" applyAlignment="1">
      <alignment vertical="center"/>
    </xf>
    <xf numFmtId="0" fontId="60" fillId="0" borderId="23" xfId="0" applyFont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60" fillId="0" borderId="17" xfId="0" applyFont="1" applyBorder="1" applyAlignment="1">
      <alignment vertical="center"/>
    </xf>
    <xf numFmtId="0" fontId="60" fillId="0" borderId="26" xfId="0" applyFont="1" applyBorder="1" applyAlignment="1">
      <alignment vertical="center"/>
    </xf>
    <xf numFmtId="0" fontId="16" fillId="0" borderId="86" xfId="0" applyFont="1" applyBorder="1" applyAlignment="1">
      <alignment horizontal="left"/>
    </xf>
    <xf numFmtId="0" fontId="16" fillId="0" borderId="87" xfId="0" applyFont="1" applyBorder="1" applyAlignment="1">
      <alignment horizontal="left"/>
    </xf>
    <xf numFmtId="0" fontId="16" fillId="0" borderId="88" xfId="0" applyFont="1" applyBorder="1" applyAlignment="1">
      <alignment horizontal="left"/>
    </xf>
    <xf numFmtId="0" fontId="21" fillId="0" borderId="16" xfId="0" applyFont="1" applyBorder="1" applyAlignment="1">
      <alignment horizontal="left" vertical="center"/>
    </xf>
    <xf numFmtId="4" fontId="16" fillId="5" borderId="59" xfId="0" applyNumberFormat="1" applyFont="1" applyFill="1" applyBorder="1" applyAlignment="1">
      <alignment horizontal="center" vertical="center"/>
    </xf>
    <xf numFmtId="4" fontId="16" fillId="5" borderId="24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6" fillId="0" borderId="94" xfId="0" applyFont="1" applyBorder="1" applyAlignment="1">
      <alignment horizontal="left"/>
    </xf>
    <xf numFmtId="0" fontId="16" fillId="0" borderId="95" xfId="0" applyFont="1" applyBorder="1" applyAlignment="1">
      <alignment horizontal="left"/>
    </xf>
    <xf numFmtId="0" fontId="16" fillId="0" borderId="96" xfId="0" applyFont="1" applyBorder="1" applyAlignment="1">
      <alignment horizontal="left"/>
    </xf>
    <xf numFmtId="0" fontId="16" fillId="0" borderId="90" xfId="0" applyFont="1" applyBorder="1" applyAlignment="1">
      <alignment horizontal="left"/>
    </xf>
    <xf numFmtId="0" fontId="16" fillId="0" borderId="91" xfId="0" applyFont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0" fillId="0" borderId="19" xfId="0" applyBorder="1" applyAlignment="1"/>
    <xf numFmtId="0" fontId="0" fillId="0" borderId="20" xfId="0" applyBorder="1" applyAlignment="1"/>
    <xf numFmtId="0" fontId="16" fillId="0" borderId="94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/>
    </xf>
    <xf numFmtId="0" fontId="16" fillId="0" borderId="96" xfId="0" applyFont="1" applyBorder="1" applyAlignment="1">
      <alignment horizontal="left" vertical="center"/>
    </xf>
    <xf numFmtId="0" fontId="21" fillId="0" borderId="86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21" fillId="0" borderId="88" xfId="0" applyFont="1" applyBorder="1" applyAlignment="1">
      <alignment horizontal="left" vertical="center"/>
    </xf>
    <xf numFmtId="0" fontId="21" fillId="0" borderId="94" xfId="0" applyFont="1" applyBorder="1" applyAlignment="1">
      <alignment horizontal="left" vertical="center"/>
    </xf>
    <xf numFmtId="0" fontId="21" fillId="0" borderId="95" xfId="0" applyFont="1" applyBorder="1" applyAlignment="1">
      <alignment horizontal="left" vertical="center"/>
    </xf>
    <xf numFmtId="0" fontId="21" fillId="0" borderId="96" xfId="0" applyFont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1" fillId="0" borderId="18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19" fillId="0" borderId="16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16" fillId="0" borderId="90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16" fillId="0" borderId="9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18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6" fillId="0" borderId="122" xfId="0" applyFont="1" applyBorder="1" applyAlignment="1">
      <alignment horizontal="left"/>
    </xf>
    <xf numFmtId="0" fontId="4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4" fontId="16" fillId="0" borderId="59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 vertical="center"/>
    </xf>
    <xf numFmtId="0" fontId="19" fillId="0" borderId="21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/>
    </xf>
    <xf numFmtId="0" fontId="19" fillId="0" borderId="23" xfId="0" applyFont="1" applyFill="1" applyBorder="1" applyAlignment="1">
      <alignment horizontal="left" vertical="top"/>
    </xf>
    <xf numFmtId="0" fontId="0" fillId="0" borderId="8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9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19" fillId="0" borderId="59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165" fontId="20" fillId="0" borderId="0" xfId="0" applyNumberFormat="1" applyFont="1" applyBorder="1" applyAlignment="1" applyProtection="1">
      <alignment horizontal="left" vertical="center"/>
      <protection locked="0"/>
    </xf>
    <xf numFmtId="0" fontId="56" fillId="0" borderId="4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6" fillId="0" borderId="86" xfId="0" applyFont="1" applyBorder="1" applyAlignment="1">
      <alignment horizontal="left" vertical="center"/>
    </xf>
    <xf numFmtId="0" fontId="16" fillId="0" borderId="87" xfId="0" applyFont="1" applyBorder="1" applyAlignment="1">
      <alignment horizontal="left" vertical="center"/>
    </xf>
    <xf numFmtId="0" fontId="16" fillId="0" borderId="88" xfId="0" applyFont="1" applyBorder="1" applyAlignment="1">
      <alignment horizontal="left" vertical="center"/>
    </xf>
    <xf numFmtId="14" fontId="36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122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0" xfId="0" applyFont="1" applyBorder="1" applyAlignment="1">
      <alignment horizontal="left"/>
    </xf>
    <xf numFmtId="0" fontId="18" fillId="0" borderId="43" xfId="0" applyFon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8" fillId="0" borderId="55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49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/>
    </xf>
    <xf numFmtId="0" fontId="18" fillId="2" borderId="149" xfId="0" applyFont="1" applyFill="1" applyBorder="1" applyAlignment="1"/>
    <xf numFmtId="0" fontId="18" fillId="2" borderId="126" xfId="0" applyFont="1" applyFill="1" applyBorder="1" applyAlignment="1"/>
    <xf numFmtId="0" fontId="18" fillId="2" borderId="150" xfId="0" applyFont="1" applyFill="1" applyBorder="1" applyAlignment="1"/>
    <xf numFmtId="0" fontId="48" fillId="0" borderId="71" xfId="0" applyFont="1" applyBorder="1" applyAlignment="1"/>
    <xf numFmtId="0" fontId="48" fillId="0" borderId="72" xfId="0" applyFont="1" applyBorder="1" applyAlignment="1"/>
    <xf numFmtId="0" fontId="48" fillId="0" borderId="73" xfId="0" applyFont="1" applyBorder="1" applyAlignment="1"/>
    <xf numFmtId="0" fontId="47" fillId="0" borderId="77" xfId="0" applyFont="1" applyBorder="1" applyAlignment="1"/>
    <xf numFmtId="0" fontId="47" fillId="0" borderId="78" xfId="0" applyFont="1" applyBorder="1" applyAlignment="1"/>
    <xf numFmtId="0" fontId="47" fillId="0" borderId="79" xfId="0" applyFont="1" applyBorder="1" applyAlignment="1"/>
    <xf numFmtId="0" fontId="18" fillId="0" borderId="4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47" fillId="0" borderId="74" xfId="0" applyFont="1" applyBorder="1" applyAlignment="1"/>
    <xf numFmtId="0" fontId="47" fillId="0" borderId="75" xfId="0" applyFont="1" applyBorder="1" applyAlignment="1"/>
    <xf numFmtId="0" fontId="47" fillId="0" borderId="76" xfId="0" applyFont="1" applyBorder="1" applyAlignment="1"/>
    <xf numFmtId="0" fontId="18" fillId="0" borderId="28" xfId="0" applyFont="1" applyBorder="1" applyAlignment="1"/>
    <xf numFmtId="0" fontId="18" fillId="0" borderId="29" xfId="0" applyFont="1" applyBorder="1" applyAlignment="1"/>
    <xf numFmtId="0" fontId="18" fillId="0" borderId="30" xfId="0" applyFont="1" applyBorder="1" applyAlignment="1"/>
    <xf numFmtId="0" fontId="18" fillId="0" borderId="58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152" xfId="0" applyFont="1" applyBorder="1" applyAlignment="1">
      <alignment horizontal="center" vertical="center"/>
    </xf>
    <xf numFmtId="0" fontId="18" fillId="0" borderId="149" xfId="0" applyFont="1" applyBorder="1" applyAlignment="1">
      <alignment horizontal="left" vertical="center"/>
    </xf>
    <xf numFmtId="0" fontId="0" fillId="0" borderId="126" xfId="0" applyBorder="1" applyAlignment="1">
      <alignment horizontal="left" vertical="center"/>
    </xf>
    <xf numFmtId="0" fontId="0" fillId="0" borderId="150" xfId="0" applyBorder="1" applyAlignment="1">
      <alignment horizontal="left" vertical="center"/>
    </xf>
    <xf numFmtId="0" fontId="47" fillId="0" borderId="74" xfId="0" applyFont="1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48" fillId="0" borderId="71" xfId="0" applyFont="1" applyBorder="1" applyAlignment="1">
      <alignment horizontal="left" vertical="top"/>
    </xf>
    <xf numFmtId="0" fontId="0" fillId="0" borderId="72" xfId="0" applyBorder="1" applyAlignment="1">
      <alignment horizontal="left" vertical="top"/>
    </xf>
    <xf numFmtId="0" fontId="0" fillId="0" borderId="73" xfId="0" applyBorder="1" applyAlignment="1">
      <alignment horizontal="left" vertical="top"/>
    </xf>
    <xf numFmtId="0" fontId="19" fillId="0" borderId="0" xfId="0" applyFont="1" applyAlignment="1">
      <alignment horizontal="left"/>
    </xf>
    <xf numFmtId="0" fontId="16" fillId="0" borderId="78" xfId="0" applyFont="1" applyBorder="1" applyAlignment="1">
      <alignment horizontal="left" vertical="center"/>
    </xf>
    <xf numFmtId="0" fontId="16" fillId="0" borderId="120" xfId="0" applyFont="1" applyBorder="1" applyAlignment="1">
      <alignment horizontal="left" vertical="center"/>
    </xf>
    <xf numFmtId="0" fontId="16" fillId="0" borderId="115" xfId="0" applyFont="1" applyBorder="1" applyAlignment="1">
      <alignment horizontal="left" vertical="center"/>
    </xf>
    <xf numFmtId="0" fontId="16" fillId="0" borderId="116" xfId="0" applyFont="1" applyBorder="1" applyAlignment="1">
      <alignment horizontal="left" vertical="center"/>
    </xf>
    <xf numFmtId="0" fontId="16" fillId="0" borderId="119" xfId="0" applyFont="1" applyBorder="1" applyAlignment="1">
      <alignment horizontal="left" vertical="center"/>
    </xf>
    <xf numFmtId="0" fontId="16" fillId="0" borderId="117" xfId="0" applyFont="1" applyBorder="1" applyAlignment="1">
      <alignment horizontal="left" vertical="center"/>
    </xf>
    <xf numFmtId="0" fontId="16" fillId="0" borderId="118" xfId="0" applyFont="1" applyBorder="1" applyAlignment="1">
      <alignment horizontal="left" vertical="center"/>
    </xf>
    <xf numFmtId="0" fontId="16" fillId="0" borderId="121" xfId="0" applyFont="1" applyBorder="1" applyAlignment="1">
      <alignment horizontal="left" vertical="center"/>
    </xf>
    <xf numFmtId="0" fontId="16" fillId="0" borderId="106" xfId="0" applyFont="1" applyBorder="1" applyAlignment="1">
      <alignment horizontal="center" vertical="top"/>
    </xf>
    <xf numFmtId="0" fontId="16" fillId="0" borderId="109" xfId="0" applyFont="1" applyBorder="1" applyAlignment="1">
      <alignment horizontal="left" vertical="center"/>
    </xf>
    <xf numFmtId="0" fontId="16" fillId="0" borderId="106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2" fontId="16" fillId="0" borderId="106" xfId="0" applyNumberFormat="1" applyFont="1" applyBorder="1" applyAlignment="1">
      <alignment horizontal="center" vertical="center"/>
    </xf>
    <xf numFmtId="2" fontId="16" fillId="0" borderId="110" xfId="0" applyNumberFormat="1" applyFont="1" applyBorder="1" applyAlignment="1">
      <alignment horizontal="center" vertical="center"/>
    </xf>
    <xf numFmtId="2" fontId="16" fillId="0" borderId="65" xfId="0" applyNumberFormat="1" applyFont="1" applyBorder="1" applyAlignment="1">
      <alignment horizontal="center" vertical="center"/>
    </xf>
    <xf numFmtId="2" fontId="16" fillId="0" borderId="66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164" fontId="16" fillId="0" borderId="68" xfId="0" applyNumberFormat="1" applyFont="1" applyBorder="1" applyAlignment="1">
      <alignment horizontal="center" vertical="center"/>
    </xf>
    <xf numFmtId="164" fontId="16" fillId="0" borderId="69" xfId="0" applyNumberFormat="1" applyFont="1" applyBorder="1" applyAlignment="1">
      <alignment horizontal="center" vertical="center"/>
    </xf>
    <xf numFmtId="164" fontId="16" fillId="0" borderId="70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top"/>
    </xf>
    <xf numFmtId="0" fontId="16" fillId="0" borderId="65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29" fillId="2" borderId="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47" xfId="0" applyFont="1" applyBorder="1" applyAlignment="1"/>
    <xf numFmtId="0" fontId="0" fillId="0" borderId="47" xfId="0" applyBorder="1"/>
    <xf numFmtId="0" fontId="0" fillId="0" borderId="48" xfId="0" applyBorder="1"/>
    <xf numFmtId="0" fontId="23" fillId="0" borderId="47" xfId="0" applyFont="1" applyBorder="1" applyAlignment="1">
      <alignment horizontal="left"/>
    </xf>
    <xf numFmtId="0" fontId="23" fillId="0" borderId="48" xfId="0" applyFont="1" applyBorder="1" applyAlignment="1">
      <alignment horizontal="left"/>
    </xf>
    <xf numFmtId="0" fontId="23" fillId="0" borderId="41" xfId="0" applyFont="1" applyBorder="1" applyAlignment="1"/>
    <xf numFmtId="0" fontId="18" fillId="0" borderId="41" xfId="0" applyFont="1" applyBorder="1" applyAlignment="1"/>
    <xf numFmtId="0" fontId="18" fillId="0" borderId="42" xfId="0" applyFont="1" applyBorder="1" applyAlignment="1"/>
    <xf numFmtId="0" fontId="23" fillId="0" borderId="41" xfId="0" applyFont="1" applyBorder="1" applyAlignment="1">
      <alignment horizontal="left"/>
    </xf>
    <xf numFmtId="0" fontId="18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47" fillId="0" borderId="0" xfId="0" applyFont="1" applyAlignment="1"/>
    <xf numFmtId="0" fontId="28" fillId="0" borderId="0" xfId="0" applyFont="1" applyAlignment="1"/>
    <xf numFmtId="0" fontId="47" fillId="0" borderId="0" xfId="0" applyFont="1" applyAlignment="1">
      <alignment horizontal="left" wrapText="1"/>
    </xf>
    <xf numFmtId="0" fontId="47" fillId="0" borderId="0" xfId="0" applyFont="1" applyAlignment="1">
      <alignment wrapText="1"/>
    </xf>
    <xf numFmtId="0" fontId="18" fillId="0" borderId="47" xfId="0" applyFont="1" applyBorder="1" applyAlignment="1"/>
    <xf numFmtId="0" fontId="18" fillId="0" borderId="48" xfId="0" applyFont="1" applyBorder="1" applyAlignment="1"/>
    <xf numFmtId="0" fontId="28" fillId="0" borderId="0" xfId="0" applyFont="1" applyAlignment="1">
      <alignment wrapText="1"/>
    </xf>
  </cellXfs>
  <cellStyles count="2">
    <cellStyle name="Hyperlink" xfId="1" builtinId="8"/>
    <cellStyle name="Standaard" xfId="0" builtinId="0"/>
  </cellStyles>
  <dxfs count="3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352425</xdr:colOff>
      <xdr:row>58</xdr:row>
      <xdr:rowOff>161925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210175" y="72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19</xdr:row>
      <xdr:rowOff>342900</xdr:rowOff>
    </xdr:from>
    <xdr:to>
      <xdr:col>7</xdr:col>
      <xdr:colOff>175260</xdr:colOff>
      <xdr:row>23</xdr:row>
      <xdr:rowOff>7620</xdr:rowOff>
    </xdr:to>
    <xdr:cxnSp macro="">
      <xdr:nvCxnSpPr>
        <xdr:cNvPr id="2" name="Rechte verbindingslijn 1">
          <a:extLst>
            <a:ext uri="{FF2B5EF4-FFF2-40B4-BE49-F238E27FC236}">
              <a16:creationId xmlns:a16="http://schemas.microsoft.com/office/drawing/2014/main" id="{5756202A-0171-49AB-A5C8-476138107772}"/>
            </a:ext>
          </a:extLst>
        </xdr:cNvPr>
        <xdr:cNvCxnSpPr/>
      </xdr:nvCxnSpPr>
      <xdr:spPr>
        <a:xfrm flipH="1">
          <a:off x="4846320" y="4099560"/>
          <a:ext cx="762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14</xdr:row>
      <xdr:rowOff>15240</xdr:rowOff>
    </xdr:from>
    <xdr:to>
      <xdr:col>5</xdr:col>
      <xdr:colOff>160020</xdr:colOff>
      <xdr:row>16</xdr:row>
      <xdr:rowOff>7620</xdr:rowOff>
    </xdr:to>
    <xdr:cxnSp macro="">
      <xdr:nvCxnSpPr>
        <xdr:cNvPr id="4" name="Rechte verbindingslijn 3">
          <a:extLst>
            <a:ext uri="{FF2B5EF4-FFF2-40B4-BE49-F238E27FC236}">
              <a16:creationId xmlns:a16="http://schemas.microsoft.com/office/drawing/2014/main" id="{16AC5808-E01F-4C74-99B9-B3D25607BCFB}"/>
            </a:ext>
          </a:extLst>
        </xdr:cNvPr>
        <xdr:cNvCxnSpPr/>
      </xdr:nvCxnSpPr>
      <xdr:spPr>
        <a:xfrm>
          <a:off x="3177540" y="2842260"/>
          <a:ext cx="7620" cy="3657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justice.just.fgov.be/cgi_loi/loi_a1.pl?imgcn.x=54&amp;imgcn.y=14&amp;DETAIL=2005070359%2FN&amp;caller=list&amp;row_id=31&amp;numero=41&amp;rech=59&amp;cn=2005070359&amp;table_name=WET&amp;nm=2005022674&amp;la=N&amp;language=nl&amp;chercher=t&amp;choix1=EN&amp;choix2=EN&amp;fromtab=wet_all&amp;btnnext.x=19&amp;nl=n&amp;btnnext.y=7&amp;sql=dd+%3D+date%272005-07-03%27and+actif+%3D+%27Y%27&amp;ddda=2005&amp;tri=dd+AS+RANK+&amp;trier=afkondiging&amp;dddj=03&amp;dddm=07" TargetMode="External"/><Relationship Id="rId13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3" Type="http://schemas.openxmlformats.org/officeDocument/2006/relationships/hyperlink" Target="http://www.ejustice.just.fgov.be/cgi_loi/loi_a1.pl?imgcn.x=47&amp;imgcn.y=14&amp;DETAIL=2003032643%2FN&amp;caller=list&amp;row_id=31&amp;numero=51&amp;rech=53&amp;cn=2003032643&amp;table_name=WET&amp;nm=2003200527&amp;la=N&amp;language=nl&amp;chercher=t&amp;choix1=EN&amp;choix2=EN&amp;fromtab=wet_all&amp;btnnext.x=45&amp;nl=n&amp;btnnext.y=9&amp;sql=dd+%3D+date%272003-03-26%27and+actif+%3D+%27Y%27&amp;ddda=2003&amp;tri=dd+AS+RANK+&amp;trier=afkondiging&amp;dddj=26&amp;dddm=03" TargetMode="External"/><Relationship Id="rId7" Type="http://schemas.openxmlformats.org/officeDocument/2006/relationships/hyperlink" Target="http://www.ejustice.just.fgov.be/cgi_loi/loi_a1.pl?imgcn.x=54&amp;imgcn.y=14&amp;DETAIL=2005070359%2FN&amp;caller=list&amp;row_id=31&amp;numero=41&amp;rech=59&amp;cn=2005070359&amp;table_name=WET&amp;nm=2005022674&amp;la=N&amp;language=nl&amp;chercher=t&amp;choix1=EN&amp;choix2=EN&amp;fromtab=wet_all&amp;btnnext.x=19&amp;nl=n&amp;btnnext.y=7&amp;sql=dd+%3D+date%272005-07-03%27and+actif+%3D+%27Y%27&amp;ddda=2005&amp;tri=dd+AS+RANK+&amp;trier=afkondiging&amp;dddj=03&amp;dddm=07" TargetMode="External"/><Relationship Id="rId12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17" Type="http://schemas.openxmlformats.org/officeDocument/2006/relationships/printerSettings" Target="../printerSettings/printerSettings19.bin"/><Relationship Id="rId2" Type="http://schemas.openxmlformats.org/officeDocument/2006/relationships/hyperlink" Target="http://www.ejustice.just.fgov.be/cgi_loi/loi_a1.pl?imgcn.x=57&amp;imgcn.y=10&amp;DETAIL=1999060150%2FN&amp;caller=list&amp;row_id=1&amp;numero=29&amp;rech=39&amp;cn=1999060150&amp;table_name=WET&amp;nm=1999012526&amp;la=N&amp;chercher=t&amp;language=nl&amp;choix1=EN&amp;choix2=EN&amp;fromtab=wet_all&amp;nl=n&amp;sql=dd+%3D+date%271999-06-01%27and+actif+%3D+%27Y%27&amp;ddda=1999&amp;tri=dd+AS+RANK+&amp;trier=afkondiging&amp;dddj=01&amp;dddm=06" TargetMode="External"/><Relationship Id="rId16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1" Type="http://schemas.openxmlformats.org/officeDocument/2006/relationships/hyperlink" Target="http://www.ejustice.just.fgov.be/cgi_loi/loi_a1.pl?imgcn.x=57&amp;imgcn.y=10&amp;DETAIL=1999060150%2FN&amp;caller=list&amp;row_id=1&amp;numero=29&amp;rech=39&amp;cn=1999060150&amp;table_name=WET&amp;nm=1999012526&amp;la=N&amp;chercher=t&amp;language=nl&amp;choix1=EN&amp;choix2=EN&amp;fromtab=wet_all&amp;nl=n&amp;sql=dd+%3D+date%271999-06-01%27and+actif+%3D+%27Y%27&amp;ddda=1999&amp;tri=dd+AS+RANK+&amp;trier=afkondiging&amp;dddj=01&amp;dddm=06" TargetMode="External"/><Relationship Id="rId6" Type="http://schemas.openxmlformats.org/officeDocument/2006/relationships/hyperlink" Target="http://www.ejustice.just.fgov.be/cgi_loi/loi_a1.pl?imgcn.x=42&amp;imgcn.y=5&amp;DETAIL=2002052647%2FN&amp;caller=list&amp;row_id=1&amp;numero=23&amp;rech=46&amp;cn=2002052647&amp;table_name=WET&amp;nm=2002022559&amp;la=N&amp;chercher=t&amp;language=nl&amp;choix1=EN&amp;choix2=EN&amp;fromtab=wet_all&amp;nl=n&amp;sql=dd+%3D+date%272002-05-26%27and+actif+%3D+%27Y%27&amp;ddda=2002&amp;tri=dd+AS+RANK+&amp;trier=afkondiging&amp;dddj=26&amp;dddm=05" TargetMode="External"/><Relationship Id="rId11" Type="http://schemas.openxmlformats.org/officeDocument/2006/relationships/hyperlink" Target="http://www.ejustice.just.fgov.be/cgi_loi/loi_a1.pl?imgcn.x=29&amp;imgcn.y=11&amp;DETAIL=2007050353%2FN&amp;caller=list&amp;row_id=1&amp;numero=1&amp;rech=1&amp;cn=2007050353&amp;table_name=WET&amp;nm=2007201609&amp;la=N&amp;chercher=t&amp;language=nl&amp;choix1=EN&amp;choix2=EN&amp;text1=werkloosheid&amp;fromtab=wet_all&amp;nl=n&amp;sql=dd+%3D+date%272007-05-03%27+and+%28%28+tit+contains++%28+%27werkloosheid%27%29+++%29+or+%28+text+contains++%28+%27werkloosheid%27%29+++%29%29and+actif+%3D+%27Y%27&amp;ddda=2007&amp;tri=dd+AS+RANK+&amp;trier=afkondiging&amp;dddj=03&amp;dddm=05" TargetMode="External"/><Relationship Id="rId5" Type="http://schemas.openxmlformats.org/officeDocument/2006/relationships/hyperlink" Target="http://www.ejustice.just.fgov.be/cgi_loi/loi_a1.pl?imgcn.x=42&amp;imgcn.y=5&amp;DETAIL=2002052647%2FN&amp;caller=list&amp;row_id=1&amp;numero=23&amp;rech=46&amp;cn=2002052647&amp;table_name=WET&amp;nm=2002022559&amp;la=N&amp;chercher=t&amp;language=nl&amp;choix1=EN&amp;choix2=EN&amp;fromtab=wet_all&amp;nl=n&amp;sql=dd+%3D+date%272002-05-26%27and+actif+%3D+%27Y%27&amp;ddda=2002&amp;tri=dd+AS+RANK+&amp;trier=afkondiging&amp;dddj=26&amp;dddm=05" TargetMode="External"/><Relationship Id="rId15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10" Type="http://schemas.openxmlformats.org/officeDocument/2006/relationships/hyperlink" Target="http://www.cnt-nar.be/CAO-COORD/cao-043.pdf" TargetMode="External"/><Relationship Id="rId4" Type="http://schemas.openxmlformats.org/officeDocument/2006/relationships/hyperlink" Target="http://www.ejustice.just.fgov.be/cgi_loi/loi_a1.pl?imgcn.x=42&amp;imgcn.y=5&amp;DETAIL=2002052647%2FN&amp;caller=list&amp;row_id=1&amp;numero=23&amp;rech=46&amp;cn=2002052647&amp;table_name=WET&amp;nm=2002022559&amp;la=N&amp;chercher=t&amp;language=nl&amp;choix1=EN&amp;choix2=EN&amp;fromtab=wet_all&amp;nl=n&amp;sql=dd+%3D+date%272002-05-26%27and+actif+%3D+%27Y%27&amp;ddda=2002&amp;tri=dd+AS+RANK+&amp;trier=afkondiging&amp;dddj=26&amp;dddm=05" TargetMode="External"/><Relationship Id="rId9" Type="http://schemas.openxmlformats.org/officeDocument/2006/relationships/hyperlink" Target="http://www.ejustice.just.fgov.be/cgi_loi/loi_a1.pl?imgcn.x=37&amp;imgcn.y=7&amp;DETAIL=1978022401%2FN&amp;caller=list&amp;row_id=1&amp;numero=2&amp;rech=24&amp;cn=1978022401&amp;table_name=WET&amp;nm=1978022402&amp;la=N&amp;chercher=t&amp;language=nl&amp;choix1=EN&amp;choix2=EN&amp;fromtab=wet_all&amp;nl=n&amp;sql=dd+%3D+date%271978-02-24%27and+actif+%3D+%27Y%27&amp;ddda=1978&amp;tri=dd+AS+RANK+&amp;trier=afkondiging&amp;dddj=24&amp;dddm=02" TargetMode="External"/><Relationship Id="rId14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tabSelected="1" zoomScaleNormal="100" workbookViewId="0">
      <pane xSplit="2" ySplit="8" topLeftCell="C64" activePane="bottomRight" state="frozen"/>
      <selection activeCell="B2" sqref="B2:C2"/>
      <selection pane="topRight" activeCell="B2" sqref="B2:C2"/>
      <selection pane="bottomLeft" activeCell="B2" sqref="B2:C2"/>
      <selection pane="bottomRight" activeCell="A2" sqref="A2"/>
    </sheetView>
  </sheetViews>
  <sheetFormatPr defaultColWidth="9.109375" defaultRowHeight="14.4" outlineLevelRow="1" outlineLevelCol="1"/>
  <cols>
    <col min="1" max="1" width="16.5546875" customWidth="1"/>
    <col min="2" max="2" width="0.6640625" customWidth="1"/>
    <col min="6" max="6" width="0.6640625" customWidth="1"/>
    <col min="12" max="12" width="0.6640625" customWidth="1"/>
    <col min="13" max="13" width="8.88671875" hidden="1" customWidth="1" outlineLevel="1"/>
    <col min="14" max="14" width="8.88671875" customWidth="1" collapsed="1"/>
    <col min="15" max="15" width="0.6640625" customWidth="1"/>
    <col min="21" max="21" width="0.6640625" customWidth="1"/>
    <col min="22" max="22" width="8.88671875" hidden="1" customWidth="1" outlineLevel="1"/>
    <col min="23" max="23" width="8.88671875" collapsed="1"/>
  </cols>
  <sheetData>
    <row r="1" spans="1:23" ht="15" customHeight="1">
      <c r="A1" s="44" t="s">
        <v>33</v>
      </c>
      <c r="C1" s="600" t="s">
        <v>45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599" t="s">
        <v>34</v>
      </c>
      <c r="T1" s="599"/>
      <c r="U1" s="81"/>
      <c r="V1" s="81"/>
      <c r="W1" s="497">
        <f>Basisbedragen!$H$2</f>
        <v>1.7410000000000001</v>
      </c>
    </row>
    <row r="2" spans="1:23" ht="15.6">
      <c r="A2" s="491">
        <v>45689</v>
      </c>
      <c r="C2" s="600" t="s">
        <v>52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45"/>
      <c r="U2" s="45"/>
      <c r="V2" s="45"/>
      <c r="W2" s="45"/>
    </row>
    <row r="3" spans="1:23">
      <c r="A3" s="46"/>
      <c r="C3" s="597" t="s">
        <v>47</v>
      </c>
      <c r="D3" s="597"/>
      <c r="E3" s="597"/>
      <c r="F3" s="429"/>
      <c r="G3" s="597" t="s">
        <v>48</v>
      </c>
      <c r="H3" s="597"/>
      <c r="I3" s="597"/>
      <c r="J3" s="597"/>
      <c r="K3" s="597"/>
      <c r="L3" s="429"/>
      <c r="M3" s="429"/>
      <c r="N3" s="430" t="s">
        <v>37</v>
      </c>
      <c r="O3" s="429"/>
      <c r="P3" s="597" t="s">
        <v>50</v>
      </c>
      <c r="Q3" s="597"/>
      <c r="R3" s="597"/>
      <c r="S3" s="597"/>
      <c r="T3" s="597"/>
      <c r="U3" s="429"/>
      <c r="V3" s="429"/>
      <c r="W3" s="430" t="s">
        <v>37</v>
      </c>
    </row>
    <row r="4" spans="1:23" ht="30" customHeight="1" thickBot="1">
      <c r="A4" s="46"/>
      <c r="C4" s="597"/>
      <c r="D4" s="597"/>
      <c r="E4" s="597"/>
      <c r="F4" s="429"/>
      <c r="G4" s="597"/>
      <c r="H4" s="597"/>
      <c r="I4" s="597"/>
      <c r="J4" s="597"/>
      <c r="K4" s="597"/>
      <c r="L4" s="429"/>
      <c r="M4" s="429"/>
      <c r="N4" s="431" t="s">
        <v>49</v>
      </c>
      <c r="O4" s="429"/>
      <c r="P4" s="598"/>
      <c r="Q4" s="598"/>
      <c r="R4" s="598"/>
      <c r="S4" s="598"/>
      <c r="T4" s="598"/>
      <c r="U4" s="429"/>
      <c r="V4" s="429"/>
      <c r="W4" s="432" t="s">
        <v>51</v>
      </c>
    </row>
    <row r="5" spans="1:23" ht="41.4" thickBot="1">
      <c r="A5" s="52" t="s">
        <v>35</v>
      </c>
      <c r="C5" s="55" t="s">
        <v>5</v>
      </c>
      <c r="D5" s="56" t="s">
        <v>236</v>
      </c>
      <c r="E5" s="55" t="s">
        <v>6</v>
      </c>
      <c r="F5" s="47"/>
      <c r="G5" s="56" t="s">
        <v>537</v>
      </c>
      <c r="H5" s="56" t="s">
        <v>7</v>
      </c>
      <c r="I5" s="56" t="s">
        <v>8</v>
      </c>
      <c r="J5" s="56" t="s">
        <v>9</v>
      </c>
      <c r="K5" s="56" t="s">
        <v>10</v>
      </c>
      <c r="L5" s="48"/>
      <c r="M5" s="48" t="s">
        <v>314</v>
      </c>
      <c r="N5" s="56" t="s">
        <v>535</v>
      </c>
      <c r="O5" s="48"/>
      <c r="P5" s="56" t="s">
        <v>265</v>
      </c>
      <c r="Q5" s="56" t="s">
        <v>18</v>
      </c>
      <c r="R5" s="56" t="s">
        <v>19</v>
      </c>
      <c r="S5" s="56" t="s">
        <v>20</v>
      </c>
      <c r="T5" s="56" t="s">
        <v>21</v>
      </c>
      <c r="U5" s="48"/>
      <c r="V5" s="48" t="s">
        <v>317</v>
      </c>
      <c r="W5" s="56" t="s">
        <v>237</v>
      </c>
    </row>
    <row r="6" spans="1:23" ht="12" hidden="1" customHeight="1" thickBot="1">
      <c r="A6" s="53"/>
      <c r="C6" s="57"/>
      <c r="D6" s="58"/>
      <c r="E6" s="58"/>
      <c r="F6" s="49"/>
      <c r="G6" s="58"/>
      <c r="H6" s="58">
        <v>1</v>
      </c>
      <c r="I6" s="58">
        <v>2</v>
      </c>
      <c r="J6" s="58">
        <v>3</v>
      </c>
      <c r="K6" s="58">
        <v>4</v>
      </c>
      <c r="L6" s="49"/>
      <c r="M6" s="49"/>
      <c r="N6" s="58"/>
      <c r="O6" s="49"/>
      <c r="P6" s="58"/>
      <c r="Q6" s="58">
        <v>1</v>
      </c>
      <c r="R6" s="58">
        <v>2</v>
      </c>
      <c r="S6" s="58">
        <v>3</v>
      </c>
      <c r="T6" s="58">
        <v>4</v>
      </c>
      <c r="U6" s="49"/>
      <c r="V6" s="49"/>
      <c r="W6" s="58"/>
    </row>
    <row r="7" spans="1:23" s="65" customFormat="1" ht="15" thickBot="1">
      <c r="A7" s="62"/>
      <c r="B7"/>
      <c r="C7" s="64">
        <v>0.65</v>
      </c>
      <c r="D7" s="66">
        <v>0.6</v>
      </c>
      <c r="E7" s="66">
        <v>0.6</v>
      </c>
      <c r="F7" s="63"/>
      <c r="G7" s="66">
        <v>0.6</v>
      </c>
      <c r="H7" s="62"/>
      <c r="I7" s="62"/>
      <c r="J7" s="62"/>
      <c r="K7" s="62"/>
      <c r="L7" s="63"/>
      <c r="M7" s="63"/>
      <c r="N7" s="62"/>
      <c r="O7" s="63"/>
      <c r="P7" s="62" t="s">
        <v>36</v>
      </c>
      <c r="Q7" s="62"/>
      <c r="R7" s="62"/>
      <c r="S7" s="62"/>
      <c r="T7" s="62"/>
      <c r="U7" s="63"/>
      <c r="V7" s="63"/>
      <c r="W7" s="62"/>
    </row>
    <row r="8" spans="1:23" s="69" customFormat="1" ht="18.75" customHeight="1" thickBot="1">
      <c r="A8" s="70" t="s">
        <v>4</v>
      </c>
      <c r="B8"/>
      <c r="C8" s="106">
        <f>ROUND(Basisbedragen!$C$33*$W$1,2)</f>
        <v>68.23</v>
      </c>
      <c r="D8" s="106">
        <f t="shared" ref="D8:K8" si="0">$C$8</f>
        <v>68.23</v>
      </c>
      <c r="E8" s="106">
        <f t="shared" si="0"/>
        <v>68.23</v>
      </c>
      <c r="F8" s="403"/>
      <c r="G8" s="106">
        <f t="shared" si="0"/>
        <v>68.23</v>
      </c>
      <c r="H8" s="106">
        <f t="shared" si="0"/>
        <v>68.23</v>
      </c>
      <c r="I8" s="106">
        <f t="shared" si="0"/>
        <v>68.23</v>
      </c>
      <c r="J8" s="106">
        <f t="shared" si="0"/>
        <v>68.23</v>
      </c>
      <c r="K8" s="106">
        <f t="shared" si="0"/>
        <v>68.23</v>
      </c>
      <c r="L8" s="68"/>
      <c r="M8" s="402"/>
      <c r="N8" s="67"/>
      <c r="O8" s="68"/>
      <c r="P8" s="106">
        <f>ROUND(Basisbedragen!$C$58*$W$1,2)</f>
        <v>69.14</v>
      </c>
      <c r="Q8" s="106">
        <f>$P$8</f>
        <v>69.14</v>
      </c>
      <c r="R8" s="106">
        <f>$P$8</f>
        <v>69.14</v>
      </c>
      <c r="S8" s="106">
        <f>$P$8</f>
        <v>69.14</v>
      </c>
      <c r="T8" s="106">
        <f>$P$8</f>
        <v>69.14</v>
      </c>
      <c r="U8" s="68"/>
      <c r="V8" s="411"/>
      <c r="W8" s="67"/>
    </row>
    <row r="9" spans="1:23" ht="15.75" hidden="1" customHeight="1" outlineLevel="1" thickBot="1">
      <c r="A9" s="54">
        <v>1</v>
      </c>
      <c r="C9" s="59">
        <f>IF(ROUND(ROUND(('Loonschijven_Tranches salariale'!$Q8*0.65),4)*$W$1,2)&lt;C$8,C$8,ROUND(ROUND(('Loonschijven_Tranches salariale'!$Q8*0.65),4)*$W$1,2))</f>
        <v>68.23</v>
      </c>
      <c r="D9" s="59">
        <f>IF(ROUND(ROUND(('Loonschijven_Tranches salariale'!$Q8*0.6),4)*$W$1,2)&lt;D$8,D$8,ROUND(ROUND(('Loonschijven_Tranches salariale'!$Q8*0.6),4)*$W$1,2))</f>
        <v>68.23</v>
      </c>
      <c r="E9" s="59">
        <f>IF(ROUND(ROUND(('Loonschijven_Tranches salariale'!$Q8*0.6),4)*$W$1,2)&lt;E$8,E$8,IF('Loonschijven_Tranches salariale'!$Q8&lt;Basisbedragen!$C$24,ROUND(ROUND(('Loonschijven_Tranches salariale'!$Q8*0.6),4)*$W$1,2),ROUND(ROUND((Basisbedragen!$C$24*0.6),4)*$W$1,2)))</f>
        <v>68.23</v>
      </c>
      <c r="F9" s="42"/>
      <c r="G9" s="59">
        <f>IF(ROUND(ROUND(('Loonschijven_Tranches salariale'!$Q8*0.6),4)*$W$1,2)&lt;G$8,G$8,IF('Loonschijven_Tranches salariale'!$Q8&lt;Basisbedragen!$C$23,ROUND(ROUND(('Loonschijven_Tranches salariale'!$Q8*0.6),4)*$W$1,2),ROUND(ROUND((Basisbedragen!$C$23*0.6),4)*$W$1,2)))</f>
        <v>68.23</v>
      </c>
      <c r="H9" s="59">
        <f>IF(ROUND($G9-(H$6*($G9-$M$9)/5),2)&lt;H$8,H$8,ROUND($G9-(H$6*($G9-$M$9)/5),2))</f>
        <v>68.23</v>
      </c>
      <c r="I9" s="59">
        <f t="shared" ref="I9:K24" si="1">IF(ROUND($G9-(I$6*($G9-$M$9)/5),2)&lt;I$8,I$8,ROUND($G9-(I$6*($G9-$M$9)/5),2))</f>
        <v>68.23</v>
      </c>
      <c r="J9" s="59">
        <f t="shared" si="1"/>
        <v>68.23</v>
      </c>
      <c r="K9" s="59">
        <f t="shared" si="1"/>
        <v>68.23</v>
      </c>
      <c r="L9" s="42"/>
      <c r="M9" s="42">
        <f>ROUND(Basisbedragen!$C$41*$W$1,2)</f>
        <v>58.74</v>
      </c>
      <c r="N9" s="59">
        <f t="shared" ref="N9:N23" si="2">$C$8</f>
        <v>68.23</v>
      </c>
      <c r="O9" s="42"/>
      <c r="P9" s="59">
        <f>IF(ROUND(ROUND(('Loonschijven_Tranches salariale'!$Q8*0.6),4)*$W$1,2)+ROUND(Basisbedragen!$C$56*$W$1,2)&lt;$P$8,$P$8,IF('Loonschijven_Tranches salariale'!$Q8&lt;Basisbedragen!$C$23,ROUND(ROUND(('Loonschijven_Tranches salariale'!$Q8*0.6),4)*$W$1,2)+ROUND(Basisbedragen!$C$56*$W$1,2),ROUND(ROUND((Basisbedragen!$C$23*0.6),4)*$W$1,2)+ROUND(Basisbedragen!$C$56*$W$1,2)))</f>
        <v>69.14</v>
      </c>
      <c r="Q9" s="59">
        <f>IF(ROUND($P9-(Q$6*($P9-$V9)/5),2)&lt;$W9,$W9,ROUND($P9-(Q$6*($P9-$V9)/5),2))</f>
        <v>69.14</v>
      </c>
      <c r="R9" s="59">
        <f t="shared" ref="R9:T24" si="3">IF(ROUND($P9-(R$6*($P9-$V9)/5),2)&lt;$W9,$W9,ROUND($P9-(R$6*($P9-$V9)/5),2))</f>
        <v>69.14</v>
      </c>
      <c r="S9" s="59">
        <f t="shared" si="3"/>
        <v>69.14</v>
      </c>
      <c r="T9" s="59">
        <f t="shared" si="3"/>
        <v>69.14</v>
      </c>
      <c r="U9" s="43"/>
      <c r="V9" s="317">
        <f>M9+IF(P9-N9&lt;ROUND(Basisbedragen!$C$57*$W$1,2),P9-N9,ROUND(Basisbedragen!$C$57*$W$1,2))</f>
        <v>59.65</v>
      </c>
      <c r="W9" s="59">
        <f>N9+IF(P9-N9&lt;ROUND(Basisbedragen!$C$57*$W$1,2),P9-N9,ROUND(Basisbedragen!$C$57*$W$1,2))</f>
        <v>69.14</v>
      </c>
    </row>
    <row r="10" spans="1:23" ht="15.75" hidden="1" customHeight="1" outlineLevel="1" thickBot="1">
      <c r="A10" s="54">
        <f>A9+1</f>
        <v>2</v>
      </c>
      <c r="C10" s="59">
        <f>IF(ROUND(ROUND(('Loonschijven_Tranches salariale'!$Q9*0.65),4)*$W$1,2)&lt;C$8,C$8,ROUND(ROUND(('Loonschijven_Tranches salariale'!$Q9*0.65),4)*$W$1,2))</f>
        <v>68.23</v>
      </c>
      <c r="D10" s="59">
        <f>IF(ROUND(ROUND(('Loonschijven_Tranches salariale'!$Q9*0.6),4)*$W$1,2)&lt;D$8,D$8,ROUND(ROUND(('Loonschijven_Tranches salariale'!$Q9*0.6),4)*$W$1,2))</f>
        <v>68.23</v>
      </c>
      <c r="E10" s="59">
        <f>IF(ROUND(ROUND(('Loonschijven_Tranches salariale'!$Q9*0.6),4)*$W$1,2)&lt;E$8,E$8,IF('Loonschijven_Tranches salariale'!$Q9&lt;Basisbedragen!$C$24,ROUND(ROUND(('Loonschijven_Tranches salariale'!$Q9*0.6),4)*$W$1,2),ROUND(ROUND((Basisbedragen!$C$24*0.6),4)*$W$1,2)))</f>
        <v>68.23</v>
      </c>
      <c r="F10" s="42"/>
      <c r="G10" s="59">
        <f>IF(ROUND(ROUND(('Loonschijven_Tranches salariale'!$Q9*0.6),4)*$W$1,2)&lt;G$8,G$8,IF('Loonschijven_Tranches salariale'!$Q9&lt;Basisbedragen!$C$23,ROUND(ROUND(('Loonschijven_Tranches salariale'!$Q9*0.6),4)*$W$1,2),ROUND(ROUND((Basisbedragen!$C$23*0.6),4)*$W$1,2)))</f>
        <v>68.23</v>
      </c>
      <c r="H10" s="59">
        <f t="shared" ref="H10:K41" si="4">IF(ROUND($G10-(H$6*($G10-$M$9)/5),2)&lt;H$8,H$8,ROUND($G10-(H$6*($G10-$M$9)/5),2))</f>
        <v>68.23</v>
      </c>
      <c r="I10" s="59">
        <f t="shared" si="1"/>
        <v>68.23</v>
      </c>
      <c r="J10" s="59">
        <f t="shared" si="1"/>
        <v>68.23</v>
      </c>
      <c r="K10" s="59">
        <f t="shared" si="1"/>
        <v>68.23</v>
      </c>
      <c r="L10" s="42"/>
      <c r="M10" s="42">
        <f>$M$9</f>
        <v>58.74</v>
      </c>
      <c r="N10" s="59">
        <f t="shared" si="2"/>
        <v>68.23</v>
      </c>
      <c r="O10" s="42"/>
      <c r="P10" s="59">
        <f>IF(ROUND(ROUND(('Loonschijven_Tranches salariale'!$Q9*0.6),4)*$W$1,2)+ROUND(Basisbedragen!$C$56*$W$1,2)&lt;$P$8,$P$8,IF('Loonschijven_Tranches salariale'!$Q9&lt;Basisbedragen!$C$23,ROUND(ROUND(('Loonschijven_Tranches salariale'!$Q9*0.6),4)*$W$1,2)+ROUND(Basisbedragen!$C$56*$W$1,2),ROUND(ROUND((Basisbedragen!$C$23*0.6),4)*$W$1,2)+ROUND(Basisbedragen!$C$56*$W$1,2)))</f>
        <v>69.14</v>
      </c>
      <c r="Q10" s="59">
        <f t="shared" ref="Q10:T41" si="5">IF(ROUND($P10-(Q$6*($P10-$V10)/5),2)&lt;$W10,$W10,ROUND($P10-(Q$6*($P10-$V10)/5),2))</f>
        <v>69.14</v>
      </c>
      <c r="R10" s="59">
        <f t="shared" si="3"/>
        <v>69.14</v>
      </c>
      <c r="S10" s="59">
        <f t="shared" si="3"/>
        <v>69.14</v>
      </c>
      <c r="T10" s="59">
        <f t="shared" si="3"/>
        <v>69.14</v>
      </c>
      <c r="U10" s="43"/>
      <c r="V10" s="317">
        <f>M10+IF(P10-N10&lt;ROUND(Basisbedragen!$C$57*$W$1,2),P10-N10,ROUND(Basisbedragen!$C$57*$W$1,2))</f>
        <v>59.65</v>
      </c>
      <c r="W10" s="59">
        <f>N10+IF(P10-N10&lt;ROUND(Basisbedragen!$C$57*$W$1,2),P10-N10,ROUND(Basisbedragen!$C$57*$W$1,2))</f>
        <v>69.14</v>
      </c>
    </row>
    <row r="11" spans="1:23" ht="15.75" hidden="1" customHeight="1" outlineLevel="1" thickBot="1">
      <c r="A11" s="54">
        <f t="shared" ref="A11:A74" si="6">A10+1</f>
        <v>3</v>
      </c>
      <c r="C11" s="59">
        <f>IF(ROUND(ROUND(('Loonschijven_Tranches salariale'!$Q10*0.65),4)*$W$1,2)&lt;C$8,C$8,ROUND(ROUND(('Loonschijven_Tranches salariale'!$Q10*0.65),4)*$W$1,2))</f>
        <v>68.23</v>
      </c>
      <c r="D11" s="59">
        <f>IF(ROUND(ROUND(('Loonschijven_Tranches salariale'!$Q10*0.6),4)*$W$1,2)&lt;D$8,D$8,ROUND(ROUND(('Loonschijven_Tranches salariale'!$Q10*0.6),4)*$W$1,2))</f>
        <v>68.23</v>
      </c>
      <c r="E11" s="59">
        <f>IF(ROUND(ROUND(('Loonschijven_Tranches salariale'!$Q10*0.6),4)*$W$1,2)&lt;E$8,E$8,IF('Loonschijven_Tranches salariale'!$Q10&lt;Basisbedragen!$C$24,ROUND(ROUND(('Loonschijven_Tranches salariale'!$Q10*0.6),4)*$W$1,2),ROUND(ROUND((Basisbedragen!$C$24*0.6),4)*$W$1,2)))</f>
        <v>68.23</v>
      </c>
      <c r="F11" s="42"/>
      <c r="G11" s="59">
        <f>IF(ROUND(ROUND(('Loonschijven_Tranches salariale'!$Q10*0.6),4)*$W$1,2)&lt;G$8,G$8,IF('Loonschijven_Tranches salariale'!$Q10&lt;Basisbedragen!$C$23,ROUND(ROUND(('Loonschijven_Tranches salariale'!$Q10*0.6),4)*$W$1,2),ROUND(ROUND((Basisbedragen!$C$23*0.6),4)*$W$1,2)))</f>
        <v>68.23</v>
      </c>
      <c r="H11" s="59">
        <f t="shared" si="4"/>
        <v>68.23</v>
      </c>
      <c r="I11" s="59">
        <f t="shared" si="1"/>
        <v>68.23</v>
      </c>
      <c r="J11" s="59">
        <f t="shared" si="1"/>
        <v>68.23</v>
      </c>
      <c r="K11" s="59">
        <f t="shared" si="1"/>
        <v>68.23</v>
      </c>
      <c r="L11" s="42"/>
      <c r="M11" s="42">
        <f t="shared" ref="M11:M74" si="7">$M$9</f>
        <v>58.74</v>
      </c>
      <c r="N11" s="59">
        <f t="shared" si="2"/>
        <v>68.23</v>
      </c>
      <c r="O11" s="42"/>
      <c r="P11" s="59">
        <f>IF(ROUND(ROUND(('Loonschijven_Tranches salariale'!$Q10*0.6),4)*$W$1,2)+ROUND(Basisbedragen!$C$56*$W$1,2)&lt;$P$8,$P$8,IF('Loonschijven_Tranches salariale'!$Q10&lt;Basisbedragen!$C$23,ROUND(ROUND(('Loonschijven_Tranches salariale'!$Q10*0.6),4)*$W$1,2)+ROUND(Basisbedragen!$C$56*$W$1,2),ROUND(ROUND((Basisbedragen!$C$23*0.6),4)*$W$1,2)+ROUND(Basisbedragen!$C$56*$W$1,2)))</f>
        <v>69.14</v>
      </c>
      <c r="Q11" s="59">
        <f t="shared" si="5"/>
        <v>69.14</v>
      </c>
      <c r="R11" s="59">
        <f t="shared" si="3"/>
        <v>69.14</v>
      </c>
      <c r="S11" s="59">
        <f t="shared" si="3"/>
        <v>69.14</v>
      </c>
      <c r="T11" s="59">
        <f t="shared" si="3"/>
        <v>69.14</v>
      </c>
      <c r="U11" s="43"/>
      <c r="V11" s="317">
        <f>M11+IF(P11-N11&lt;ROUND(Basisbedragen!$C$57*$W$1,2),P11-N11,ROUND(Basisbedragen!$C$57*$W$1,2))</f>
        <v>59.65</v>
      </c>
      <c r="W11" s="59">
        <f>N11+IF(P11-N11&lt;ROUND(Basisbedragen!$C$57*$W$1,2),P11-N11,ROUND(Basisbedragen!$C$57*$W$1,2))</f>
        <v>69.14</v>
      </c>
    </row>
    <row r="12" spans="1:23" ht="15.75" hidden="1" customHeight="1" outlineLevel="1" thickBot="1">
      <c r="A12" s="54">
        <f t="shared" si="6"/>
        <v>4</v>
      </c>
      <c r="C12" s="59">
        <f>IF(ROUND(ROUND(('Loonschijven_Tranches salariale'!$Q11*0.65),4)*$W$1,2)&lt;C$8,C$8,ROUND(ROUND(('Loonschijven_Tranches salariale'!$Q11*0.65),4)*$W$1,2))</f>
        <v>68.23</v>
      </c>
      <c r="D12" s="59">
        <f>IF(ROUND(ROUND(('Loonschijven_Tranches salariale'!$Q11*0.6),4)*$W$1,2)&lt;D$8,D$8,ROUND(ROUND(('Loonschijven_Tranches salariale'!$Q11*0.6),4)*$W$1,2))</f>
        <v>68.23</v>
      </c>
      <c r="E12" s="59">
        <f>IF(ROUND(ROUND(('Loonschijven_Tranches salariale'!$Q11*0.6),4)*$W$1,2)&lt;E$8,E$8,IF('Loonschijven_Tranches salariale'!$Q11&lt;Basisbedragen!$C$24,ROUND(ROUND(('Loonschijven_Tranches salariale'!$Q11*0.6),4)*$W$1,2),ROUND(ROUND((Basisbedragen!$C$24*0.6),4)*$W$1,2)))</f>
        <v>68.23</v>
      </c>
      <c r="F12" s="42"/>
      <c r="G12" s="59">
        <f>IF(ROUND(ROUND(('Loonschijven_Tranches salariale'!$Q11*0.6),4)*$W$1,2)&lt;G$8,G$8,IF('Loonschijven_Tranches salariale'!$Q11&lt;Basisbedragen!$C$23,ROUND(ROUND(('Loonschijven_Tranches salariale'!$Q11*0.6),4)*$W$1,2),ROUND(ROUND((Basisbedragen!$C$23*0.6),4)*$W$1,2)))</f>
        <v>68.23</v>
      </c>
      <c r="H12" s="59">
        <f t="shared" si="4"/>
        <v>68.23</v>
      </c>
      <c r="I12" s="59">
        <f t="shared" si="1"/>
        <v>68.23</v>
      </c>
      <c r="J12" s="59">
        <f t="shared" si="1"/>
        <v>68.23</v>
      </c>
      <c r="K12" s="59">
        <f t="shared" si="1"/>
        <v>68.23</v>
      </c>
      <c r="L12" s="42"/>
      <c r="M12" s="42">
        <f t="shared" si="7"/>
        <v>58.74</v>
      </c>
      <c r="N12" s="59">
        <f t="shared" si="2"/>
        <v>68.23</v>
      </c>
      <c r="O12" s="42"/>
      <c r="P12" s="59">
        <f>IF(ROUND(ROUND(('Loonschijven_Tranches salariale'!$Q11*0.6),4)*$W$1,2)+ROUND(Basisbedragen!$C$56*$W$1,2)&lt;$P$8,$P$8,IF('Loonschijven_Tranches salariale'!$Q11&lt;Basisbedragen!$C$23,ROUND(ROUND(('Loonschijven_Tranches salariale'!$Q11*0.6),4)*$W$1,2)+ROUND(Basisbedragen!$C$56*$W$1,2),ROUND(ROUND((Basisbedragen!$C$23*0.6),4)*$W$1,2)+ROUND(Basisbedragen!$C$56*$W$1,2)))</f>
        <v>69.14</v>
      </c>
      <c r="Q12" s="59">
        <f t="shared" si="5"/>
        <v>69.14</v>
      </c>
      <c r="R12" s="59">
        <f t="shared" si="3"/>
        <v>69.14</v>
      </c>
      <c r="S12" s="59">
        <f t="shared" si="3"/>
        <v>69.14</v>
      </c>
      <c r="T12" s="59">
        <f t="shared" si="3"/>
        <v>69.14</v>
      </c>
      <c r="U12" s="43"/>
      <c r="V12" s="317">
        <f>M12+IF(P12-N12&lt;ROUND(Basisbedragen!$C$57*$W$1,2),P12-N12,ROUND(Basisbedragen!$C$57*$W$1,2))</f>
        <v>59.65</v>
      </c>
      <c r="W12" s="59">
        <f>N12+IF(P12-N12&lt;ROUND(Basisbedragen!$C$57*$W$1,2),P12-N12,ROUND(Basisbedragen!$C$57*$W$1,2))</f>
        <v>69.14</v>
      </c>
    </row>
    <row r="13" spans="1:23" ht="15.75" hidden="1" customHeight="1" outlineLevel="1" thickBot="1">
      <c r="A13" s="54">
        <f t="shared" si="6"/>
        <v>5</v>
      </c>
      <c r="C13" s="59">
        <f>IF(ROUND(ROUND(('Loonschijven_Tranches salariale'!$Q12*0.65),4)*$W$1,2)&lt;C$8,C$8,ROUND(ROUND(('Loonschijven_Tranches salariale'!$Q12*0.65),4)*$W$1,2))</f>
        <v>68.23</v>
      </c>
      <c r="D13" s="59">
        <f>IF(ROUND(ROUND(('Loonschijven_Tranches salariale'!$Q12*0.6),4)*$W$1,2)&lt;D$8,D$8,ROUND(ROUND(('Loonschijven_Tranches salariale'!$Q12*0.6),4)*$W$1,2))</f>
        <v>68.23</v>
      </c>
      <c r="E13" s="59">
        <f>IF(ROUND(ROUND(('Loonschijven_Tranches salariale'!$Q12*0.6),4)*$W$1,2)&lt;E$8,E$8,IF('Loonschijven_Tranches salariale'!$Q12&lt;Basisbedragen!$C$24,ROUND(ROUND(('Loonschijven_Tranches salariale'!$Q12*0.6),4)*$W$1,2),ROUND(ROUND((Basisbedragen!$C$24*0.6),4)*$W$1,2)))</f>
        <v>68.23</v>
      </c>
      <c r="F13" s="42"/>
      <c r="G13" s="59">
        <f>IF(ROUND(ROUND(('Loonschijven_Tranches salariale'!$Q12*0.6),4)*$W$1,2)&lt;G$8,G$8,IF('Loonschijven_Tranches salariale'!$Q12&lt;Basisbedragen!$C$23,ROUND(ROUND(('Loonschijven_Tranches salariale'!$Q12*0.6),4)*$W$1,2),ROUND(ROUND((Basisbedragen!$C$23*0.6),4)*$W$1,2)))</f>
        <v>68.23</v>
      </c>
      <c r="H13" s="59">
        <f t="shared" si="4"/>
        <v>68.23</v>
      </c>
      <c r="I13" s="59">
        <f t="shared" si="1"/>
        <v>68.23</v>
      </c>
      <c r="J13" s="59">
        <f t="shared" si="1"/>
        <v>68.23</v>
      </c>
      <c r="K13" s="59">
        <f t="shared" si="1"/>
        <v>68.23</v>
      </c>
      <c r="L13" s="42"/>
      <c r="M13" s="42">
        <f t="shared" si="7"/>
        <v>58.74</v>
      </c>
      <c r="N13" s="59">
        <f t="shared" si="2"/>
        <v>68.23</v>
      </c>
      <c r="O13" s="42"/>
      <c r="P13" s="59">
        <f>IF(ROUND(ROUND(('Loonschijven_Tranches salariale'!$Q12*0.6),4)*$W$1,2)+ROUND(Basisbedragen!$C$56*$W$1,2)&lt;$P$8,$P$8,IF('Loonschijven_Tranches salariale'!$Q12&lt;Basisbedragen!$C$23,ROUND(ROUND(('Loonschijven_Tranches salariale'!$Q12*0.6),4)*$W$1,2)+ROUND(Basisbedragen!$C$56*$W$1,2),ROUND(ROUND((Basisbedragen!$C$23*0.6),4)*$W$1,2)+ROUND(Basisbedragen!$C$56*$W$1,2)))</f>
        <v>69.14</v>
      </c>
      <c r="Q13" s="59">
        <f t="shared" si="5"/>
        <v>69.14</v>
      </c>
      <c r="R13" s="59">
        <f t="shared" si="3"/>
        <v>69.14</v>
      </c>
      <c r="S13" s="59">
        <f t="shared" si="3"/>
        <v>69.14</v>
      </c>
      <c r="T13" s="59">
        <f t="shared" si="3"/>
        <v>69.14</v>
      </c>
      <c r="U13" s="43"/>
      <c r="V13" s="317">
        <f>M13+IF(P13-N13&lt;ROUND(Basisbedragen!$C$57*$W$1,2),P13-N13,ROUND(Basisbedragen!$C$57*$W$1,2))</f>
        <v>59.65</v>
      </c>
      <c r="W13" s="59">
        <f>N13+IF(P13-N13&lt;ROUND(Basisbedragen!$C$57*$W$1,2),P13-N13,ROUND(Basisbedragen!$C$57*$W$1,2))</f>
        <v>69.14</v>
      </c>
    </row>
    <row r="14" spans="1:23" ht="15.75" hidden="1" customHeight="1" outlineLevel="1" thickBot="1">
      <c r="A14" s="54">
        <f t="shared" si="6"/>
        <v>6</v>
      </c>
      <c r="C14" s="59">
        <f>IF(ROUND(ROUND(('Loonschijven_Tranches salariale'!$Q13*0.65),4)*$W$1,2)&lt;C$8,C$8,ROUND(ROUND(('Loonschijven_Tranches salariale'!$Q13*0.65),4)*$W$1,2))</f>
        <v>68.23</v>
      </c>
      <c r="D14" s="59">
        <f>IF(ROUND(ROUND(('Loonschijven_Tranches salariale'!$Q13*0.6),4)*$W$1,2)&lt;D$8,D$8,ROUND(ROUND(('Loonschijven_Tranches salariale'!$Q13*0.6),4)*$W$1,2))</f>
        <v>68.23</v>
      </c>
      <c r="E14" s="59">
        <f>IF(ROUND(ROUND(('Loonschijven_Tranches salariale'!$Q13*0.6),4)*$W$1,2)&lt;E$8,E$8,IF('Loonschijven_Tranches salariale'!$Q13&lt;Basisbedragen!$C$24,ROUND(ROUND(('Loonschijven_Tranches salariale'!$Q13*0.6),4)*$W$1,2),ROUND(ROUND((Basisbedragen!$C$24*0.6),4)*$W$1,2)))</f>
        <v>68.23</v>
      </c>
      <c r="F14" s="42"/>
      <c r="G14" s="59">
        <f>IF(ROUND(ROUND(('Loonschijven_Tranches salariale'!$Q13*0.6),4)*$W$1,2)&lt;G$8,G$8,IF('Loonschijven_Tranches salariale'!$Q13&lt;Basisbedragen!$C$23,ROUND(ROUND(('Loonschijven_Tranches salariale'!$Q13*0.6),4)*$W$1,2),ROUND(ROUND((Basisbedragen!$C$23*0.6),4)*$W$1,2)))</f>
        <v>68.23</v>
      </c>
      <c r="H14" s="59">
        <f t="shared" si="4"/>
        <v>68.23</v>
      </c>
      <c r="I14" s="59">
        <f t="shared" si="1"/>
        <v>68.23</v>
      </c>
      <c r="J14" s="59">
        <f t="shared" si="1"/>
        <v>68.23</v>
      </c>
      <c r="K14" s="59">
        <f t="shared" si="1"/>
        <v>68.23</v>
      </c>
      <c r="L14" s="42"/>
      <c r="M14" s="42">
        <f t="shared" si="7"/>
        <v>58.74</v>
      </c>
      <c r="N14" s="59">
        <f t="shared" si="2"/>
        <v>68.23</v>
      </c>
      <c r="O14" s="42"/>
      <c r="P14" s="59">
        <f>IF(ROUND(ROUND(('Loonschijven_Tranches salariale'!$Q13*0.6),4)*$W$1,2)+ROUND(Basisbedragen!$C$56*$W$1,2)&lt;$P$8,$P$8,IF('Loonschijven_Tranches salariale'!$Q13&lt;Basisbedragen!$C$23,ROUND(ROUND(('Loonschijven_Tranches salariale'!$Q13*0.6),4)*$W$1,2)+ROUND(Basisbedragen!$C$56*$W$1,2),ROUND(ROUND((Basisbedragen!$C$23*0.6),4)*$W$1,2)+ROUND(Basisbedragen!$C$56*$W$1,2)))</f>
        <v>69.14</v>
      </c>
      <c r="Q14" s="59">
        <f t="shared" si="5"/>
        <v>69.14</v>
      </c>
      <c r="R14" s="59">
        <f t="shared" si="3"/>
        <v>69.14</v>
      </c>
      <c r="S14" s="59">
        <f t="shared" si="3"/>
        <v>69.14</v>
      </c>
      <c r="T14" s="59">
        <f t="shared" si="3"/>
        <v>69.14</v>
      </c>
      <c r="U14" s="43"/>
      <c r="V14" s="317">
        <f>M14+IF(P14-N14&lt;ROUND(Basisbedragen!$C$57*$W$1,2),P14-N14,ROUND(Basisbedragen!$C$57*$W$1,2))</f>
        <v>59.65</v>
      </c>
      <c r="W14" s="59">
        <f>N14+IF(P14-N14&lt;ROUND(Basisbedragen!$C$57*$W$1,2),P14-N14,ROUND(Basisbedragen!$C$57*$W$1,2))</f>
        <v>69.14</v>
      </c>
    </row>
    <row r="15" spans="1:23" ht="15.75" hidden="1" customHeight="1" outlineLevel="1" thickBot="1">
      <c r="A15" s="54">
        <f t="shared" si="6"/>
        <v>7</v>
      </c>
      <c r="C15" s="59">
        <f>IF(ROUND(ROUND(('Loonschijven_Tranches salariale'!$Q14*0.65),4)*$W$1,2)&lt;C$8,C$8,ROUND(ROUND(('Loonschijven_Tranches salariale'!$Q14*0.65),4)*$W$1,2))</f>
        <v>68.23</v>
      </c>
      <c r="D15" s="59">
        <f>IF(ROUND(ROUND(('Loonschijven_Tranches salariale'!$Q14*0.6),4)*$W$1,2)&lt;D$8,D$8,ROUND(ROUND(('Loonschijven_Tranches salariale'!$Q14*0.6),4)*$W$1,2))</f>
        <v>68.23</v>
      </c>
      <c r="E15" s="59">
        <f>IF(ROUND(ROUND(('Loonschijven_Tranches salariale'!$Q14*0.6),4)*$W$1,2)&lt;E$8,E$8,IF('Loonschijven_Tranches salariale'!$Q14&lt;Basisbedragen!$C$24,ROUND(ROUND(('Loonschijven_Tranches salariale'!$Q14*0.6),4)*$W$1,2),ROUND(ROUND((Basisbedragen!$C$24*0.6),4)*$W$1,2)))</f>
        <v>68.23</v>
      </c>
      <c r="F15" s="42"/>
      <c r="G15" s="59">
        <f>IF(ROUND(ROUND(('Loonschijven_Tranches salariale'!$Q14*0.6),4)*$W$1,2)&lt;G$8,G$8,IF('Loonschijven_Tranches salariale'!$Q14&lt;Basisbedragen!$C$23,ROUND(ROUND(('Loonschijven_Tranches salariale'!$Q14*0.6),4)*$W$1,2),ROUND(ROUND((Basisbedragen!$C$23*0.6),4)*$W$1,2)))</f>
        <v>68.23</v>
      </c>
      <c r="H15" s="59">
        <f t="shared" si="4"/>
        <v>68.23</v>
      </c>
      <c r="I15" s="59">
        <f t="shared" si="1"/>
        <v>68.23</v>
      </c>
      <c r="J15" s="59">
        <f t="shared" si="1"/>
        <v>68.23</v>
      </c>
      <c r="K15" s="59">
        <f t="shared" si="1"/>
        <v>68.23</v>
      </c>
      <c r="L15" s="42"/>
      <c r="M15" s="42">
        <f t="shared" si="7"/>
        <v>58.74</v>
      </c>
      <c r="N15" s="59">
        <f t="shared" si="2"/>
        <v>68.23</v>
      </c>
      <c r="O15" s="42"/>
      <c r="P15" s="59">
        <f>IF(ROUND(ROUND(('Loonschijven_Tranches salariale'!$Q14*0.6),4)*$W$1,2)+ROUND(Basisbedragen!$C$56*$W$1,2)&lt;$P$8,$P$8,IF('Loonschijven_Tranches salariale'!$Q14&lt;Basisbedragen!$C$23,ROUND(ROUND(('Loonschijven_Tranches salariale'!$Q14*0.6),4)*$W$1,2)+ROUND(Basisbedragen!$C$56*$W$1,2),ROUND(ROUND((Basisbedragen!$C$23*0.6),4)*$W$1,2)+ROUND(Basisbedragen!$C$56*$W$1,2)))</f>
        <v>69.14</v>
      </c>
      <c r="Q15" s="59">
        <f t="shared" si="5"/>
        <v>69.14</v>
      </c>
      <c r="R15" s="59">
        <f t="shared" si="3"/>
        <v>69.14</v>
      </c>
      <c r="S15" s="59">
        <f t="shared" si="3"/>
        <v>69.14</v>
      </c>
      <c r="T15" s="59">
        <f t="shared" si="3"/>
        <v>69.14</v>
      </c>
      <c r="U15" s="43"/>
      <c r="V15" s="317">
        <f>M15+IF(P15-N15&lt;ROUND(Basisbedragen!$C$57*$W$1,2),P15-N15,ROUND(Basisbedragen!$C$57*$W$1,2))</f>
        <v>59.65</v>
      </c>
      <c r="W15" s="59">
        <f>N15+IF(P15-N15&lt;ROUND(Basisbedragen!$C$57*$W$1,2),P15-N15,ROUND(Basisbedragen!$C$57*$W$1,2))</f>
        <v>69.14</v>
      </c>
    </row>
    <row r="16" spans="1:23" ht="15.75" hidden="1" customHeight="1" outlineLevel="1" thickBot="1">
      <c r="A16" s="54">
        <f t="shared" si="6"/>
        <v>8</v>
      </c>
      <c r="C16" s="59">
        <f>IF(ROUND(ROUND(('Loonschijven_Tranches salariale'!$Q15*0.65),4)*$W$1,2)&lt;C$8,C$8,ROUND(ROUND(('Loonschijven_Tranches salariale'!$Q15*0.65),4)*$W$1,2))</f>
        <v>68.23</v>
      </c>
      <c r="D16" s="59">
        <f>IF(ROUND(ROUND(('Loonschijven_Tranches salariale'!$Q15*0.6),4)*$W$1,2)&lt;D$8,D$8,ROUND(ROUND(('Loonschijven_Tranches salariale'!$Q15*0.6),4)*$W$1,2))</f>
        <v>68.23</v>
      </c>
      <c r="E16" s="59">
        <f>IF(ROUND(ROUND(('Loonschijven_Tranches salariale'!$Q15*0.6),4)*$W$1,2)&lt;E$8,E$8,IF('Loonschijven_Tranches salariale'!$Q15&lt;Basisbedragen!$C$24,ROUND(ROUND(('Loonschijven_Tranches salariale'!$Q15*0.6),4)*$W$1,2),ROUND(ROUND((Basisbedragen!$C$24*0.6),4)*$W$1,2)))</f>
        <v>68.23</v>
      </c>
      <c r="F16" s="42"/>
      <c r="G16" s="59">
        <f>IF(ROUND(ROUND(('Loonschijven_Tranches salariale'!$Q15*0.6),4)*$W$1,2)&lt;G$8,G$8,IF('Loonschijven_Tranches salariale'!$Q15&lt;Basisbedragen!$C$23,ROUND(ROUND(('Loonschijven_Tranches salariale'!$Q15*0.6),4)*$W$1,2),ROUND(ROUND((Basisbedragen!$C$23*0.6),4)*$W$1,2)))</f>
        <v>68.23</v>
      </c>
      <c r="H16" s="59">
        <f t="shared" si="4"/>
        <v>68.23</v>
      </c>
      <c r="I16" s="59">
        <f t="shared" si="1"/>
        <v>68.23</v>
      </c>
      <c r="J16" s="59">
        <f t="shared" si="1"/>
        <v>68.23</v>
      </c>
      <c r="K16" s="59">
        <f t="shared" si="1"/>
        <v>68.23</v>
      </c>
      <c r="L16" s="42"/>
      <c r="M16" s="42">
        <f t="shared" si="7"/>
        <v>58.74</v>
      </c>
      <c r="N16" s="59">
        <f t="shared" si="2"/>
        <v>68.23</v>
      </c>
      <c r="O16" s="42"/>
      <c r="P16" s="59">
        <f>IF(ROUND(ROUND(('Loonschijven_Tranches salariale'!$Q15*0.6),4)*$W$1,2)+ROUND(Basisbedragen!$C$56*$W$1,2)&lt;$P$8,$P$8,IF('Loonschijven_Tranches salariale'!$Q15&lt;Basisbedragen!$C$23,ROUND(ROUND(('Loonschijven_Tranches salariale'!$Q15*0.6),4)*$W$1,2)+ROUND(Basisbedragen!$C$56*$W$1,2),ROUND(ROUND((Basisbedragen!$C$23*0.6),4)*$W$1,2)+ROUND(Basisbedragen!$C$56*$W$1,2)))</f>
        <v>69.14</v>
      </c>
      <c r="Q16" s="59">
        <f t="shared" si="5"/>
        <v>69.14</v>
      </c>
      <c r="R16" s="59">
        <f t="shared" si="3"/>
        <v>69.14</v>
      </c>
      <c r="S16" s="59">
        <f t="shared" si="3"/>
        <v>69.14</v>
      </c>
      <c r="T16" s="59">
        <f t="shared" si="3"/>
        <v>69.14</v>
      </c>
      <c r="U16" s="43"/>
      <c r="V16" s="317">
        <f>M16+IF(P16-N16&lt;ROUND(Basisbedragen!$C$57*$W$1,2),P16-N16,ROUND(Basisbedragen!$C$57*$W$1,2))</f>
        <v>59.65</v>
      </c>
      <c r="W16" s="59">
        <f>N16+IF(P16-N16&lt;ROUND(Basisbedragen!$C$57*$W$1,2),P16-N16,ROUND(Basisbedragen!$C$57*$W$1,2))</f>
        <v>69.14</v>
      </c>
    </row>
    <row r="17" spans="1:23" ht="15.75" hidden="1" customHeight="1" outlineLevel="1" thickBot="1">
      <c r="A17" s="54">
        <f t="shared" si="6"/>
        <v>9</v>
      </c>
      <c r="C17" s="59">
        <f>IF(ROUND(ROUND(('Loonschijven_Tranches salariale'!$Q16*0.65),4)*$W$1,2)&lt;C$8,C$8,ROUND(ROUND(('Loonschijven_Tranches salariale'!$Q16*0.65),4)*$W$1,2))</f>
        <v>68.23</v>
      </c>
      <c r="D17" s="59">
        <f>IF(ROUND(ROUND(('Loonschijven_Tranches salariale'!$Q16*0.6),4)*$W$1,2)&lt;D$8,D$8,ROUND(ROUND(('Loonschijven_Tranches salariale'!$Q16*0.6),4)*$W$1,2))</f>
        <v>68.23</v>
      </c>
      <c r="E17" s="59">
        <f>IF(ROUND(ROUND(('Loonschijven_Tranches salariale'!$Q16*0.6),4)*$W$1,2)&lt;E$8,E$8,IF('Loonschijven_Tranches salariale'!$Q16&lt;Basisbedragen!$C$24,ROUND(ROUND(('Loonschijven_Tranches salariale'!$Q16*0.6),4)*$W$1,2),ROUND(ROUND((Basisbedragen!$C$24*0.6),4)*$W$1,2)))</f>
        <v>68.23</v>
      </c>
      <c r="F17" s="42"/>
      <c r="G17" s="59">
        <f>IF(ROUND(ROUND(('Loonschijven_Tranches salariale'!$Q16*0.6),4)*$W$1,2)&lt;G$8,G$8,IF('Loonschijven_Tranches salariale'!$Q16&lt;Basisbedragen!$C$23,ROUND(ROUND(('Loonschijven_Tranches salariale'!$Q16*0.6),4)*$W$1,2),ROUND(ROUND((Basisbedragen!$C$23*0.6),4)*$W$1,2)))</f>
        <v>68.23</v>
      </c>
      <c r="H17" s="59">
        <f t="shared" si="4"/>
        <v>68.23</v>
      </c>
      <c r="I17" s="59">
        <f t="shared" si="1"/>
        <v>68.23</v>
      </c>
      <c r="J17" s="59">
        <f t="shared" si="1"/>
        <v>68.23</v>
      </c>
      <c r="K17" s="59">
        <f t="shared" si="1"/>
        <v>68.23</v>
      </c>
      <c r="L17" s="42"/>
      <c r="M17" s="42">
        <f t="shared" si="7"/>
        <v>58.74</v>
      </c>
      <c r="N17" s="59">
        <f t="shared" si="2"/>
        <v>68.23</v>
      </c>
      <c r="O17" s="42"/>
      <c r="P17" s="59">
        <f>IF(ROUND(ROUND(('Loonschijven_Tranches salariale'!$Q16*0.6),4)*$W$1,2)+ROUND(Basisbedragen!$C$56*$W$1,2)&lt;$P$8,$P$8,IF('Loonschijven_Tranches salariale'!$Q16&lt;Basisbedragen!$C$23,ROUND(ROUND(('Loonschijven_Tranches salariale'!$Q16*0.6),4)*$W$1,2)+ROUND(Basisbedragen!$C$56*$W$1,2),ROUND(ROUND((Basisbedragen!$C$23*0.6),4)*$W$1,2)+ROUND(Basisbedragen!$C$56*$W$1,2)))</f>
        <v>69.14</v>
      </c>
      <c r="Q17" s="59">
        <f t="shared" si="5"/>
        <v>69.14</v>
      </c>
      <c r="R17" s="59">
        <f t="shared" si="3"/>
        <v>69.14</v>
      </c>
      <c r="S17" s="59">
        <f t="shared" si="3"/>
        <v>69.14</v>
      </c>
      <c r="T17" s="59">
        <f t="shared" si="3"/>
        <v>69.14</v>
      </c>
      <c r="U17" s="43"/>
      <c r="V17" s="317">
        <f>M17+IF(P17-N17&lt;ROUND(Basisbedragen!$C$57*$W$1,2),P17-N17,ROUND(Basisbedragen!$C$57*$W$1,2))</f>
        <v>59.65</v>
      </c>
      <c r="W17" s="59">
        <f>N17+IF(P17-N17&lt;ROUND(Basisbedragen!$C$57*$W$1,2),P17-N17,ROUND(Basisbedragen!$C$57*$W$1,2))</f>
        <v>69.14</v>
      </c>
    </row>
    <row r="18" spans="1:23" ht="15.75" hidden="1" customHeight="1" outlineLevel="1" thickBot="1">
      <c r="A18" s="54">
        <f t="shared" si="6"/>
        <v>10</v>
      </c>
      <c r="C18" s="59">
        <f>IF(ROUND(ROUND(('Loonschijven_Tranches salariale'!$Q17*0.65),4)*$W$1,2)&lt;C$8,C$8,ROUND(ROUND(('Loonschijven_Tranches salariale'!$Q17*0.65),4)*$W$1,2))</f>
        <v>68.23</v>
      </c>
      <c r="D18" s="59">
        <f>IF(ROUND(ROUND(('Loonschijven_Tranches salariale'!$Q17*0.6),4)*$W$1,2)&lt;D$8,D$8,ROUND(ROUND(('Loonschijven_Tranches salariale'!$Q17*0.6),4)*$W$1,2))</f>
        <v>68.23</v>
      </c>
      <c r="E18" s="59">
        <f>IF(ROUND(ROUND(('Loonschijven_Tranches salariale'!$Q17*0.6),4)*$W$1,2)&lt;E$8,E$8,IF('Loonschijven_Tranches salariale'!$Q17&lt;Basisbedragen!$C$24,ROUND(ROUND(('Loonschijven_Tranches salariale'!$Q17*0.6),4)*$W$1,2),ROUND(ROUND((Basisbedragen!$C$24*0.6),4)*$W$1,2)))</f>
        <v>68.23</v>
      </c>
      <c r="F18" s="42"/>
      <c r="G18" s="59">
        <f>IF(ROUND(ROUND(('Loonschijven_Tranches salariale'!$Q17*0.6),4)*$W$1,2)&lt;G$8,G$8,IF('Loonschijven_Tranches salariale'!$Q17&lt;Basisbedragen!$C$23,ROUND(ROUND(('Loonschijven_Tranches salariale'!$Q17*0.6),4)*$W$1,2),ROUND(ROUND((Basisbedragen!$C$23*0.6),4)*$W$1,2)))</f>
        <v>68.23</v>
      </c>
      <c r="H18" s="59">
        <f t="shared" si="4"/>
        <v>68.23</v>
      </c>
      <c r="I18" s="59">
        <f t="shared" si="1"/>
        <v>68.23</v>
      </c>
      <c r="J18" s="59">
        <f t="shared" si="1"/>
        <v>68.23</v>
      </c>
      <c r="K18" s="59">
        <f t="shared" si="1"/>
        <v>68.23</v>
      </c>
      <c r="L18" s="42"/>
      <c r="M18" s="42">
        <f t="shared" si="7"/>
        <v>58.74</v>
      </c>
      <c r="N18" s="59">
        <f t="shared" si="2"/>
        <v>68.23</v>
      </c>
      <c r="O18" s="42"/>
      <c r="P18" s="59">
        <f>IF(ROUND(ROUND(('Loonschijven_Tranches salariale'!$Q17*0.6),4)*$W$1,2)+ROUND(Basisbedragen!$C$56*$W$1,2)&lt;$P$8,$P$8,IF('Loonschijven_Tranches salariale'!$Q17&lt;Basisbedragen!$C$23,ROUND(ROUND(('Loonschijven_Tranches salariale'!$Q17*0.6),4)*$W$1,2)+ROUND(Basisbedragen!$C$56*$W$1,2),ROUND(ROUND((Basisbedragen!$C$23*0.6),4)*$W$1,2)+ROUND(Basisbedragen!$C$56*$W$1,2)))</f>
        <v>69.14</v>
      </c>
      <c r="Q18" s="59">
        <f t="shared" si="5"/>
        <v>69.14</v>
      </c>
      <c r="R18" s="59">
        <f t="shared" si="3"/>
        <v>69.14</v>
      </c>
      <c r="S18" s="59">
        <f t="shared" si="3"/>
        <v>69.14</v>
      </c>
      <c r="T18" s="59">
        <f t="shared" si="3"/>
        <v>69.14</v>
      </c>
      <c r="U18" s="43"/>
      <c r="V18" s="317">
        <f>M18+IF(P18-N18&lt;ROUND(Basisbedragen!$C$57*$W$1,2),P18-N18,ROUND(Basisbedragen!$C$57*$W$1,2))</f>
        <v>59.65</v>
      </c>
      <c r="W18" s="59">
        <f>N18+IF(P18-N18&lt;ROUND(Basisbedragen!$C$57*$W$1,2),P18-N18,ROUND(Basisbedragen!$C$57*$W$1,2))</f>
        <v>69.14</v>
      </c>
    </row>
    <row r="19" spans="1:23" ht="15.75" hidden="1" customHeight="1" outlineLevel="1" thickBot="1">
      <c r="A19" s="54">
        <f t="shared" si="6"/>
        <v>11</v>
      </c>
      <c r="C19" s="59">
        <f>IF(ROUND(ROUND(('Loonschijven_Tranches salariale'!$Q18*0.65),4)*$W$1,2)&lt;C$8,C$8,ROUND(ROUND(('Loonschijven_Tranches salariale'!$Q18*0.65),4)*$W$1,2))</f>
        <v>68.23</v>
      </c>
      <c r="D19" s="59">
        <f>IF(ROUND(ROUND(('Loonschijven_Tranches salariale'!$Q18*0.6),4)*$W$1,2)&lt;D$8,D$8,ROUND(ROUND(('Loonschijven_Tranches salariale'!$Q18*0.6),4)*$W$1,2))</f>
        <v>68.23</v>
      </c>
      <c r="E19" s="59">
        <f>IF(ROUND(ROUND(('Loonschijven_Tranches salariale'!$Q18*0.6),4)*$W$1,2)&lt;E$8,E$8,IF('Loonschijven_Tranches salariale'!$Q18&lt;Basisbedragen!$C$24,ROUND(ROUND(('Loonschijven_Tranches salariale'!$Q18*0.6),4)*$W$1,2),ROUND(ROUND((Basisbedragen!$C$24*0.6),4)*$W$1,2)))</f>
        <v>68.23</v>
      </c>
      <c r="F19" s="42"/>
      <c r="G19" s="59">
        <f>IF(ROUND(ROUND(('Loonschijven_Tranches salariale'!$Q18*0.6),4)*$W$1,2)&lt;G$8,G$8,IF('Loonschijven_Tranches salariale'!$Q18&lt;Basisbedragen!$C$23,ROUND(ROUND(('Loonschijven_Tranches salariale'!$Q18*0.6),4)*$W$1,2),ROUND(ROUND((Basisbedragen!$C$23*0.6),4)*$W$1,2)))</f>
        <v>68.23</v>
      </c>
      <c r="H19" s="59">
        <f t="shared" si="4"/>
        <v>68.23</v>
      </c>
      <c r="I19" s="59">
        <f t="shared" si="1"/>
        <v>68.23</v>
      </c>
      <c r="J19" s="59">
        <f t="shared" si="1"/>
        <v>68.23</v>
      </c>
      <c r="K19" s="59">
        <f t="shared" si="1"/>
        <v>68.23</v>
      </c>
      <c r="L19" s="42"/>
      <c r="M19" s="42">
        <f t="shared" si="7"/>
        <v>58.74</v>
      </c>
      <c r="N19" s="59">
        <f t="shared" si="2"/>
        <v>68.23</v>
      </c>
      <c r="O19" s="42"/>
      <c r="P19" s="59">
        <f>IF(ROUND(ROUND(('Loonschijven_Tranches salariale'!$Q18*0.6),4)*$W$1,2)+ROUND(Basisbedragen!$C$56*$W$1,2)&lt;$P$8,$P$8,IF('Loonschijven_Tranches salariale'!$Q18&lt;Basisbedragen!$C$23,ROUND(ROUND(('Loonschijven_Tranches salariale'!$Q18*0.6),4)*$W$1,2)+ROUND(Basisbedragen!$C$56*$W$1,2),ROUND(ROUND((Basisbedragen!$C$23*0.6),4)*$W$1,2)+ROUND(Basisbedragen!$C$56*$W$1,2)))</f>
        <v>69.14</v>
      </c>
      <c r="Q19" s="59">
        <f t="shared" si="5"/>
        <v>69.14</v>
      </c>
      <c r="R19" s="59">
        <f t="shared" si="3"/>
        <v>69.14</v>
      </c>
      <c r="S19" s="59">
        <f t="shared" si="3"/>
        <v>69.14</v>
      </c>
      <c r="T19" s="59">
        <f t="shared" si="3"/>
        <v>69.14</v>
      </c>
      <c r="U19" s="43"/>
      <c r="V19" s="317">
        <f>M19+IF(P19-N19&lt;ROUND(Basisbedragen!$C$57*$W$1,2),P19-N19,ROUND(Basisbedragen!$C$57*$W$1,2))</f>
        <v>59.65</v>
      </c>
      <c r="W19" s="59">
        <f>N19+IF(P19-N19&lt;ROUND(Basisbedragen!$C$57*$W$1,2),P19-N19,ROUND(Basisbedragen!$C$57*$W$1,2))</f>
        <v>69.14</v>
      </c>
    </row>
    <row r="20" spans="1:23" ht="15.75" hidden="1" customHeight="1" outlineLevel="1" thickBot="1">
      <c r="A20" s="54">
        <f t="shared" si="6"/>
        <v>12</v>
      </c>
      <c r="C20" s="59">
        <f>IF(ROUND(ROUND(('Loonschijven_Tranches salariale'!$Q19*0.65),4)*$W$1,2)&lt;C$8,C$8,ROUND(ROUND(('Loonschijven_Tranches salariale'!$Q19*0.65),4)*$W$1,2))</f>
        <v>68.23</v>
      </c>
      <c r="D20" s="59">
        <f>IF(ROUND(ROUND(('Loonschijven_Tranches salariale'!$Q19*0.6),4)*$W$1,2)&lt;D$8,D$8,ROUND(ROUND(('Loonschijven_Tranches salariale'!$Q19*0.6),4)*$W$1,2))</f>
        <v>68.23</v>
      </c>
      <c r="E20" s="59">
        <f>IF(ROUND(ROUND(('Loonschijven_Tranches salariale'!$Q19*0.6),4)*$W$1,2)&lt;E$8,E$8,IF('Loonschijven_Tranches salariale'!$Q19&lt;Basisbedragen!$C$24,ROUND(ROUND(('Loonschijven_Tranches salariale'!$Q19*0.6),4)*$W$1,2),ROUND(ROUND((Basisbedragen!$C$24*0.6),4)*$W$1,2)))</f>
        <v>68.23</v>
      </c>
      <c r="F20" s="42"/>
      <c r="G20" s="59">
        <f>IF(ROUND(ROUND(('Loonschijven_Tranches salariale'!$Q19*0.6),4)*$W$1,2)&lt;G$8,G$8,IF('Loonschijven_Tranches salariale'!$Q19&lt;Basisbedragen!$C$23,ROUND(ROUND(('Loonschijven_Tranches salariale'!$Q19*0.6),4)*$W$1,2),ROUND(ROUND((Basisbedragen!$C$23*0.6),4)*$W$1,2)))</f>
        <v>68.23</v>
      </c>
      <c r="H20" s="59">
        <f t="shared" si="4"/>
        <v>68.23</v>
      </c>
      <c r="I20" s="59">
        <f t="shared" si="1"/>
        <v>68.23</v>
      </c>
      <c r="J20" s="59">
        <f t="shared" si="1"/>
        <v>68.23</v>
      </c>
      <c r="K20" s="59">
        <f t="shared" si="1"/>
        <v>68.23</v>
      </c>
      <c r="L20" s="42"/>
      <c r="M20" s="42">
        <f t="shared" si="7"/>
        <v>58.74</v>
      </c>
      <c r="N20" s="59">
        <f t="shared" si="2"/>
        <v>68.23</v>
      </c>
      <c r="O20" s="42"/>
      <c r="P20" s="59">
        <f>IF(ROUND(ROUND(('Loonschijven_Tranches salariale'!$Q19*0.6),4)*$W$1,2)+ROUND(Basisbedragen!$C$56*$W$1,2)&lt;$P$8,$P$8,IF('Loonschijven_Tranches salariale'!$Q19&lt;Basisbedragen!$C$23,ROUND(ROUND(('Loonschijven_Tranches salariale'!$Q19*0.6),4)*$W$1,2)+ROUND(Basisbedragen!$C$56*$W$1,2),ROUND(ROUND((Basisbedragen!$C$23*0.6),4)*$W$1,2)+ROUND(Basisbedragen!$C$56*$W$1,2)))</f>
        <v>69.14</v>
      </c>
      <c r="Q20" s="59">
        <f t="shared" si="5"/>
        <v>69.14</v>
      </c>
      <c r="R20" s="59">
        <f t="shared" si="3"/>
        <v>69.14</v>
      </c>
      <c r="S20" s="59">
        <f t="shared" si="3"/>
        <v>69.14</v>
      </c>
      <c r="T20" s="59">
        <f t="shared" si="3"/>
        <v>69.14</v>
      </c>
      <c r="U20" s="43"/>
      <c r="V20" s="317">
        <f>M20+IF(P20-N20&lt;ROUND(Basisbedragen!$C$57*$W$1,2),P20-N20,ROUND(Basisbedragen!$C$57*$W$1,2))</f>
        <v>59.65</v>
      </c>
      <c r="W20" s="59">
        <f>N20+IF(P20-N20&lt;ROUND(Basisbedragen!$C$57*$W$1,2),P20-N20,ROUND(Basisbedragen!$C$57*$W$1,2))</f>
        <v>69.14</v>
      </c>
    </row>
    <row r="21" spans="1:23" ht="15.75" hidden="1" customHeight="1" outlineLevel="1" thickBot="1">
      <c r="A21" s="54">
        <f t="shared" si="6"/>
        <v>13</v>
      </c>
      <c r="C21" s="59">
        <f>IF(ROUND(ROUND(('Loonschijven_Tranches salariale'!$Q20*0.65),4)*$W$1,2)&lt;C$8,C$8,ROUND(ROUND(('Loonschijven_Tranches salariale'!$Q20*0.65),4)*$W$1,2))</f>
        <v>68.23</v>
      </c>
      <c r="D21" s="59">
        <f>IF(ROUND(ROUND(('Loonschijven_Tranches salariale'!$Q20*0.6),4)*$W$1,2)&lt;D$8,D$8,ROUND(ROUND(('Loonschijven_Tranches salariale'!$Q20*0.6),4)*$W$1,2))</f>
        <v>68.23</v>
      </c>
      <c r="E21" s="59">
        <f>IF(ROUND(ROUND(('Loonschijven_Tranches salariale'!$Q20*0.6),4)*$W$1,2)&lt;E$8,E$8,IF('Loonschijven_Tranches salariale'!$Q20&lt;Basisbedragen!$C$24,ROUND(ROUND(('Loonschijven_Tranches salariale'!$Q20*0.6),4)*$W$1,2),ROUND(ROUND((Basisbedragen!$C$24*0.6),4)*$W$1,2)))</f>
        <v>68.23</v>
      </c>
      <c r="F21" s="42"/>
      <c r="G21" s="59">
        <f>IF(ROUND(ROUND(('Loonschijven_Tranches salariale'!$Q20*0.6),4)*$W$1,2)&lt;G$8,G$8,IF('Loonschijven_Tranches salariale'!$Q20&lt;Basisbedragen!$C$23,ROUND(ROUND(('Loonschijven_Tranches salariale'!$Q20*0.6),4)*$W$1,2),ROUND(ROUND((Basisbedragen!$C$23*0.6),4)*$W$1,2)))</f>
        <v>68.23</v>
      </c>
      <c r="H21" s="59">
        <f t="shared" si="4"/>
        <v>68.23</v>
      </c>
      <c r="I21" s="59">
        <f t="shared" si="1"/>
        <v>68.23</v>
      </c>
      <c r="J21" s="59">
        <f t="shared" si="1"/>
        <v>68.23</v>
      </c>
      <c r="K21" s="59">
        <f t="shared" si="1"/>
        <v>68.23</v>
      </c>
      <c r="L21" s="42"/>
      <c r="M21" s="42">
        <f t="shared" si="7"/>
        <v>58.74</v>
      </c>
      <c r="N21" s="59">
        <f t="shared" si="2"/>
        <v>68.23</v>
      </c>
      <c r="O21" s="42"/>
      <c r="P21" s="59">
        <f>IF(ROUND(ROUND(('Loonschijven_Tranches salariale'!$Q20*0.6),4)*$W$1,2)+ROUND(Basisbedragen!$C$56*$W$1,2)&lt;$P$8,$P$8,IF('Loonschijven_Tranches salariale'!$Q20&lt;Basisbedragen!$C$23,ROUND(ROUND(('Loonschijven_Tranches salariale'!$Q20*0.6),4)*$W$1,2)+ROUND(Basisbedragen!$C$56*$W$1,2),ROUND(ROUND((Basisbedragen!$C$23*0.6),4)*$W$1,2)+ROUND(Basisbedragen!$C$56*$W$1,2)))</f>
        <v>69.14</v>
      </c>
      <c r="Q21" s="59">
        <f t="shared" si="5"/>
        <v>69.14</v>
      </c>
      <c r="R21" s="59">
        <f t="shared" si="3"/>
        <v>69.14</v>
      </c>
      <c r="S21" s="59">
        <f t="shared" si="3"/>
        <v>69.14</v>
      </c>
      <c r="T21" s="59">
        <f t="shared" si="3"/>
        <v>69.14</v>
      </c>
      <c r="U21" s="43"/>
      <c r="V21" s="317">
        <f>M21+IF(P21-N21&lt;ROUND(Basisbedragen!$C$57*$W$1,2),P21-N21,ROUND(Basisbedragen!$C$57*$W$1,2))</f>
        <v>59.65</v>
      </c>
      <c r="W21" s="59">
        <f>N21+IF(P21-N21&lt;ROUND(Basisbedragen!$C$57*$W$1,2),P21-N21,ROUND(Basisbedragen!$C$57*$W$1,2))</f>
        <v>69.14</v>
      </c>
    </row>
    <row r="22" spans="1:23" ht="15.75" hidden="1" customHeight="1" outlineLevel="1" thickBot="1">
      <c r="A22" s="54">
        <f t="shared" si="6"/>
        <v>14</v>
      </c>
      <c r="C22" s="59">
        <f>IF(ROUND(ROUND(('Loonschijven_Tranches salariale'!$Q21*0.65),4)*$W$1,2)&lt;C$8,C$8,ROUND(ROUND(('Loonschijven_Tranches salariale'!$Q21*0.65),4)*$W$1,2))</f>
        <v>68.23</v>
      </c>
      <c r="D22" s="59">
        <f>IF(ROUND(ROUND(('Loonschijven_Tranches salariale'!$Q21*0.6),4)*$W$1,2)&lt;D$8,D$8,ROUND(ROUND(('Loonschijven_Tranches salariale'!$Q21*0.6),4)*$W$1,2))</f>
        <v>68.23</v>
      </c>
      <c r="E22" s="59">
        <f>IF(ROUND(ROUND(('Loonschijven_Tranches salariale'!$Q21*0.6),4)*$W$1,2)&lt;E$8,E$8,IF('Loonschijven_Tranches salariale'!$Q21&lt;Basisbedragen!$C$24,ROUND(ROUND(('Loonschijven_Tranches salariale'!$Q21*0.6),4)*$W$1,2),ROUND(ROUND((Basisbedragen!$C$24*0.6),4)*$W$1,2)))</f>
        <v>68.23</v>
      </c>
      <c r="F22" s="42"/>
      <c r="G22" s="59">
        <f>IF(ROUND(ROUND(('Loonschijven_Tranches salariale'!$Q21*0.6),4)*$W$1,2)&lt;G$8,G$8,IF('Loonschijven_Tranches salariale'!$Q21&lt;Basisbedragen!$C$23,ROUND(ROUND(('Loonschijven_Tranches salariale'!$Q21*0.6),4)*$W$1,2),ROUND(ROUND((Basisbedragen!$C$23*0.6),4)*$W$1,2)))</f>
        <v>68.23</v>
      </c>
      <c r="H22" s="59">
        <f t="shared" si="4"/>
        <v>68.23</v>
      </c>
      <c r="I22" s="59">
        <f t="shared" si="1"/>
        <v>68.23</v>
      </c>
      <c r="J22" s="59">
        <f t="shared" si="1"/>
        <v>68.23</v>
      </c>
      <c r="K22" s="59">
        <f t="shared" si="1"/>
        <v>68.23</v>
      </c>
      <c r="L22" s="42"/>
      <c r="M22" s="42">
        <f t="shared" si="7"/>
        <v>58.74</v>
      </c>
      <c r="N22" s="59">
        <f t="shared" si="2"/>
        <v>68.23</v>
      </c>
      <c r="O22" s="42"/>
      <c r="P22" s="59">
        <f>IF(ROUND(ROUND(('Loonschijven_Tranches salariale'!$Q21*0.6),4)*$W$1,2)+ROUND(Basisbedragen!$C$56*$W$1,2)&lt;$P$8,$P$8,IF('Loonschijven_Tranches salariale'!$Q21&lt;Basisbedragen!$C$23,ROUND(ROUND(('Loonschijven_Tranches salariale'!$Q21*0.6),4)*$W$1,2)+ROUND(Basisbedragen!$C$56*$W$1,2),ROUND(ROUND((Basisbedragen!$C$23*0.6),4)*$W$1,2)+ROUND(Basisbedragen!$C$56*$W$1,2)))</f>
        <v>69.14</v>
      </c>
      <c r="Q22" s="59">
        <f t="shared" si="5"/>
        <v>69.14</v>
      </c>
      <c r="R22" s="59">
        <f t="shared" si="3"/>
        <v>69.14</v>
      </c>
      <c r="S22" s="59">
        <f t="shared" si="3"/>
        <v>69.14</v>
      </c>
      <c r="T22" s="59">
        <f t="shared" si="3"/>
        <v>69.14</v>
      </c>
      <c r="U22" s="43"/>
      <c r="V22" s="317">
        <f>M22+IF(P22-N22&lt;ROUND(Basisbedragen!$C$57*$W$1,2),P22-N22,ROUND(Basisbedragen!$C$57*$W$1,2))</f>
        <v>59.65</v>
      </c>
      <c r="W22" s="59">
        <f>N22+IF(P22-N22&lt;ROUND(Basisbedragen!$C$57*$W$1,2),P22-N22,ROUND(Basisbedragen!$C$57*$W$1,2))</f>
        <v>69.14</v>
      </c>
    </row>
    <row r="23" spans="1:23" ht="15.75" hidden="1" customHeight="1" outlineLevel="1" thickBot="1">
      <c r="A23" s="54">
        <f t="shared" si="6"/>
        <v>15</v>
      </c>
      <c r="C23" s="59">
        <f>IF(ROUND(ROUND(('Loonschijven_Tranches salariale'!$Q22*0.65),4)*$W$1,2)&lt;C$8,C$8,ROUND(ROUND(('Loonschijven_Tranches salariale'!$Q22*0.65),4)*$W$1,2))</f>
        <v>68.23</v>
      </c>
      <c r="D23" s="59">
        <f>IF(ROUND(ROUND(('Loonschijven_Tranches salariale'!$Q22*0.6),4)*$W$1,2)&lt;D$8,D$8,ROUND(ROUND(('Loonschijven_Tranches salariale'!$Q22*0.6),4)*$W$1,2))</f>
        <v>68.23</v>
      </c>
      <c r="E23" s="59">
        <f>IF(ROUND(ROUND(('Loonschijven_Tranches salariale'!$Q22*0.6),4)*$W$1,2)&lt;E$8,E$8,IF('Loonschijven_Tranches salariale'!$Q22&lt;Basisbedragen!$C$24,ROUND(ROUND(('Loonschijven_Tranches salariale'!$Q22*0.6),4)*$W$1,2),ROUND(ROUND((Basisbedragen!$C$24*0.6),4)*$W$1,2)))</f>
        <v>68.23</v>
      </c>
      <c r="F23" s="42"/>
      <c r="G23" s="59">
        <f>IF(ROUND(ROUND(('Loonschijven_Tranches salariale'!$Q22*0.6),4)*$W$1,2)&lt;G$8,G$8,IF('Loonschijven_Tranches salariale'!$Q22&lt;Basisbedragen!$C$23,ROUND(ROUND(('Loonschijven_Tranches salariale'!$Q22*0.6),4)*$W$1,2),ROUND(ROUND((Basisbedragen!$C$23*0.6),4)*$W$1,2)))</f>
        <v>68.23</v>
      </c>
      <c r="H23" s="59">
        <f t="shared" si="4"/>
        <v>68.23</v>
      </c>
      <c r="I23" s="59">
        <f t="shared" si="1"/>
        <v>68.23</v>
      </c>
      <c r="J23" s="59">
        <f t="shared" si="1"/>
        <v>68.23</v>
      </c>
      <c r="K23" s="59">
        <f t="shared" si="1"/>
        <v>68.23</v>
      </c>
      <c r="L23" s="42"/>
      <c r="M23" s="42">
        <f t="shared" si="7"/>
        <v>58.74</v>
      </c>
      <c r="N23" s="59">
        <f t="shared" si="2"/>
        <v>68.23</v>
      </c>
      <c r="O23" s="42"/>
      <c r="P23" s="59">
        <f>IF(ROUND(ROUND(('Loonschijven_Tranches salariale'!$Q22*0.6),4)*$W$1,2)+ROUND(Basisbedragen!$C$56*$W$1,2)&lt;$P$8,$P$8,IF('Loonschijven_Tranches salariale'!$Q22&lt;Basisbedragen!$C$23,ROUND(ROUND(('Loonschijven_Tranches salariale'!$Q22*0.6),4)*$W$1,2)+ROUND(Basisbedragen!$C$56*$W$1,2),ROUND(ROUND((Basisbedragen!$C$23*0.6),4)*$W$1,2)+ROUND(Basisbedragen!$C$56*$W$1,2)))</f>
        <v>69.14</v>
      </c>
      <c r="Q23" s="59">
        <f t="shared" si="5"/>
        <v>69.14</v>
      </c>
      <c r="R23" s="59">
        <f t="shared" si="3"/>
        <v>69.14</v>
      </c>
      <c r="S23" s="59">
        <f t="shared" si="3"/>
        <v>69.14</v>
      </c>
      <c r="T23" s="59">
        <f t="shared" si="3"/>
        <v>69.14</v>
      </c>
      <c r="U23" s="43"/>
      <c r="V23" s="317">
        <f>M23+IF(P23-N23&lt;ROUND(Basisbedragen!$C$57*$W$1,2),P23-N23,ROUND(Basisbedragen!$C$57*$W$1,2))</f>
        <v>59.65</v>
      </c>
      <c r="W23" s="59">
        <f>N23+IF(P23-N23&lt;ROUND(Basisbedragen!$C$57*$W$1,2),P23-N23,ROUND(Basisbedragen!$C$57*$W$1,2))</f>
        <v>69.14</v>
      </c>
    </row>
    <row r="24" spans="1:23" ht="15.75" hidden="1" customHeight="1" outlineLevel="1" thickBot="1">
      <c r="A24" s="54">
        <f t="shared" si="6"/>
        <v>16</v>
      </c>
      <c r="C24" s="59">
        <f>IF(ROUND(ROUND(('Loonschijven_Tranches salariale'!$Q23*0.65),4)*$W$1,2)&lt;C$8,C$8,ROUND(ROUND(('Loonschijven_Tranches salariale'!$Q23*0.65),4)*$W$1,2))</f>
        <v>68.23</v>
      </c>
      <c r="D24" s="59">
        <f>IF(ROUND(ROUND(('Loonschijven_Tranches salariale'!$Q23*0.6),4)*$W$1,2)&lt;D$8,D$8,ROUND(ROUND(('Loonschijven_Tranches salariale'!$Q23*0.6),4)*$W$1,2))</f>
        <v>68.23</v>
      </c>
      <c r="E24" s="59">
        <f>IF(ROUND(ROUND(('Loonschijven_Tranches salariale'!$Q23*0.6),4)*$W$1,2)&lt;E$8,E$8,IF('Loonschijven_Tranches salariale'!$Q23&lt;Basisbedragen!$C$24,ROUND(ROUND(('Loonschijven_Tranches salariale'!$Q23*0.6),4)*$W$1,2),ROUND(ROUND((Basisbedragen!$C$24*0.6),4)*$W$1,2)))</f>
        <v>68.23</v>
      </c>
      <c r="F24" s="42"/>
      <c r="G24" s="59">
        <f>IF(ROUND(ROUND(('Loonschijven_Tranches salariale'!$Q23*0.6),4)*$W$1,2)&lt;G$8,G$8,IF('Loonschijven_Tranches salariale'!$Q23&lt;Basisbedragen!$C$23,ROUND(ROUND(('Loonschijven_Tranches salariale'!$Q23*0.6),4)*$W$1,2),ROUND(ROUND((Basisbedragen!$C$23*0.6),4)*$W$1,2)))</f>
        <v>68.23</v>
      </c>
      <c r="H24" s="59">
        <f t="shared" si="4"/>
        <v>68.23</v>
      </c>
      <c r="I24" s="59">
        <f t="shared" si="1"/>
        <v>68.23</v>
      </c>
      <c r="J24" s="59">
        <f t="shared" si="1"/>
        <v>68.23</v>
      </c>
      <c r="K24" s="59">
        <f t="shared" si="1"/>
        <v>68.23</v>
      </c>
      <c r="L24" s="42"/>
      <c r="M24" s="42">
        <f t="shared" si="7"/>
        <v>58.74</v>
      </c>
      <c r="N24" s="59">
        <f t="shared" ref="N24:N87" si="8">$C$8</f>
        <v>68.23</v>
      </c>
      <c r="O24" s="42"/>
      <c r="P24" s="59">
        <f>IF(ROUND(ROUND(('Loonschijven_Tranches salariale'!$Q23*0.6),4)*$W$1,2)+ROUND(Basisbedragen!$C$56*$W$1,2)&lt;$P$8,$P$8,IF('Loonschijven_Tranches salariale'!$Q23&lt;Basisbedragen!$C$23,ROUND(ROUND(('Loonschijven_Tranches salariale'!$Q23*0.6),4)*$W$1,2)+ROUND(Basisbedragen!$C$56*$W$1,2),ROUND(ROUND((Basisbedragen!$C$23*0.6),4)*$W$1,2)+ROUND(Basisbedragen!$C$56*$W$1,2)))</f>
        <v>69.14</v>
      </c>
      <c r="Q24" s="59">
        <f t="shared" si="5"/>
        <v>69.14</v>
      </c>
      <c r="R24" s="59">
        <f t="shared" si="3"/>
        <v>69.14</v>
      </c>
      <c r="S24" s="59">
        <f t="shared" si="3"/>
        <v>69.14</v>
      </c>
      <c r="T24" s="59">
        <f t="shared" si="3"/>
        <v>69.14</v>
      </c>
      <c r="U24" s="43"/>
      <c r="V24" s="317">
        <f>M24+IF(P24-N24&lt;ROUND(Basisbedragen!$C$57*$W$1,2),P24-N24,ROUND(Basisbedragen!$C$57*$W$1,2))</f>
        <v>59.65</v>
      </c>
      <c r="W24" s="59">
        <f>N24+IF(P24-N24&lt;ROUND(Basisbedragen!$C$57*$W$1,2),P24-N24,ROUND(Basisbedragen!$C$57*$W$1,2))</f>
        <v>69.14</v>
      </c>
    </row>
    <row r="25" spans="1:23" ht="15.75" hidden="1" customHeight="1" outlineLevel="1" thickBot="1">
      <c r="A25" s="54">
        <f t="shared" si="6"/>
        <v>17</v>
      </c>
      <c r="C25" s="59">
        <f>IF(ROUND(ROUND(('Loonschijven_Tranches salariale'!$Q24*0.65),4)*$W$1,2)&lt;C$8,C$8,ROUND(ROUND(('Loonschijven_Tranches salariale'!$Q24*0.65),4)*$W$1,2))</f>
        <v>68.23</v>
      </c>
      <c r="D25" s="59">
        <f>IF(ROUND(ROUND(('Loonschijven_Tranches salariale'!$Q24*0.6),4)*$W$1,2)&lt;D$8,D$8,ROUND(ROUND(('Loonschijven_Tranches salariale'!$Q24*0.6),4)*$W$1,2))</f>
        <v>68.23</v>
      </c>
      <c r="E25" s="59">
        <f>IF(ROUND(ROUND(('Loonschijven_Tranches salariale'!$Q24*0.6),4)*$W$1,2)&lt;E$8,E$8,IF('Loonschijven_Tranches salariale'!$Q24&lt;Basisbedragen!$C$24,ROUND(ROUND(('Loonschijven_Tranches salariale'!$Q24*0.6),4)*$W$1,2),ROUND(ROUND((Basisbedragen!$C$24*0.6),4)*$W$1,2)))</f>
        <v>68.23</v>
      </c>
      <c r="F25" s="42"/>
      <c r="G25" s="59">
        <f>IF(ROUND(ROUND(('Loonschijven_Tranches salariale'!$Q24*0.6),4)*$W$1,2)&lt;G$8,G$8,IF('Loonschijven_Tranches salariale'!$Q24&lt;Basisbedragen!$C$23,ROUND(ROUND(('Loonschijven_Tranches salariale'!$Q24*0.6),4)*$W$1,2),ROUND(ROUND((Basisbedragen!$C$23*0.6),4)*$W$1,2)))</f>
        <v>68.23</v>
      </c>
      <c r="H25" s="59">
        <f t="shared" si="4"/>
        <v>68.23</v>
      </c>
      <c r="I25" s="59">
        <f t="shared" si="4"/>
        <v>68.23</v>
      </c>
      <c r="J25" s="59">
        <f t="shared" si="4"/>
        <v>68.23</v>
      </c>
      <c r="K25" s="59">
        <f t="shared" si="4"/>
        <v>68.23</v>
      </c>
      <c r="L25" s="42"/>
      <c r="M25" s="42">
        <f t="shared" si="7"/>
        <v>58.74</v>
      </c>
      <c r="N25" s="59">
        <f t="shared" si="8"/>
        <v>68.23</v>
      </c>
      <c r="O25" s="42"/>
      <c r="P25" s="59">
        <f>IF(ROUND(ROUND(('Loonschijven_Tranches salariale'!$Q24*0.6),4)*$W$1,2)+ROUND(Basisbedragen!$C$56*$W$1,2)&lt;$P$8,$P$8,IF('Loonschijven_Tranches salariale'!$Q24&lt;Basisbedragen!$C$23,ROUND(ROUND(('Loonschijven_Tranches salariale'!$Q24*0.6),4)*$W$1,2)+ROUND(Basisbedragen!$C$56*$W$1,2),ROUND(ROUND((Basisbedragen!$C$23*0.6),4)*$W$1,2)+ROUND(Basisbedragen!$C$56*$W$1,2)))</f>
        <v>69.14</v>
      </c>
      <c r="Q25" s="59">
        <f t="shared" si="5"/>
        <v>69.14</v>
      </c>
      <c r="R25" s="59">
        <f t="shared" si="5"/>
        <v>69.14</v>
      </c>
      <c r="S25" s="59">
        <f t="shared" si="5"/>
        <v>69.14</v>
      </c>
      <c r="T25" s="59">
        <f t="shared" si="5"/>
        <v>69.14</v>
      </c>
      <c r="U25" s="43"/>
      <c r="V25" s="317">
        <f>M25+IF(P25-N25&lt;ROUND(Basisbedragen!$C$57*$W$1,2),P25-N25,ROUND(Basisbedragen!$C$57*$W$1,2))</f>
        <v>59.65</v>
      </c>
      <c r="W25" s="59">
        <f>N25+IF(P25-N25&lt;ROUND(Basisbedragen!$C$57*$W$1,2),P25-N25,ROUND(Basisbedragen!$C$57*$W$1,2))</f>
        <v>69.14</v>
      </c>
    </row>
    <row r="26" spans="1:23" ht="15.75" hidden="1" customHeight="1" outlineLevel="1" thickBot="1">
      <c r="A26" s="54">
        <f t="shared" si="6"/>
        <v>18</v>
      </c>
      <c r="C26" s="59">
        <f>IF(ROUND(ROUND(('Loonschijven_Tranches salariale'!$Q25*0.65),4)*$W$1,2)&lt;C$8,C$8,ROUND(ROUND(('Loonschijven_Tranches salariale'!$Q25*0.65),4)*$W$1,2))</f>
        <v>68.23</v>
      </c>
      <c r="D26" s="59">
        <f>IF(ROUND(ROUND(('Loonschijven_Tranches salariale'!$Q25*0.6),4)*$W$1,2)&lt;D$8,D$8,ROUND(ROUND(('Loonschijven_Tranches salariale'!$Q25*0.6),4)*$W$1,2))</f>
        <v>68.23</v>
      </c>
      <c r="E26" s="59">
        <f>IF(ROUND(ROUND(('Loonschijven_Tranches salariale'!$Q25*0.6),4)*$W$1,2)&lt;E$8,E$8,IF('Loonschijven_Tranches salariale'!$Q25&lt;Basisbedragen!$C$24,ROUND(ROUND(('Loonschijven_Tranches salariale'!$Q25*0.6),4)*$W$1,2),ROUND(ROUND((Basisbedragen!$C$24*0.6),4)*$W$1,2)))</f>
        <v>68.23</v>
      </c>
      <c r="F26" s="42"/>
      <c r="G26" s="59">
        <f>IF(ROUND(ROUND(('Loonschijven_Tranches salariale'!$Q25*0.6),4)*$W$1,2)&lt;G$8,G$8,IF('Loonschijven_Tranches salariale'!$Q25&lt;Basisbedragen!$C$23,ROUND(ROUND(('Loonschijven_Tranches salariale'!$Q25*0.6),4)*$W$1,2),ROUND(ROUND((Basisbedragen!$C$23*0.6),4)*$W$1,2)))</f>
        <v>68.23</v>
      </c>
      <c r="H26" s="59">
        <f t="shared" si="4"/>
        <v>68.23</v>
      </c>
      <c r="I26" s="59">
        <f t="shared" si="4"/>
        <v>68.23</v>
      </c>
      <c r="J26" s="59">
        <f t="shared" si="4"/>
        <v>68.23</v>
      </c>
      <c r="K26" s="59">
        <f t="shared" si="4"/>
        <v>68.23</v>
      </c>
      <c r="L26" s="42"/>
      <c r="M26" s="42">
        <f t="shared" si="7"/>
        <v>58.74</v>
      </c>
      <c r="N26" s="59">
        <f t="shared" si="8"/>
        <v>68.23</v>
      </c>
      <c r="O26" s="42"/>
      <c r="P26" s="59">
        <f>IF(ROUND(ROUND(('Loonschijven_Tranches salariale'!$Q25*0.6),4)*$W$1,2)+ROUND(Basisbedragen!$C$56*$W$1,2)&lt;$P$8,$P$8,IF('Loonschijven_Tranches salariale'!$Q25&lt;Basisbedragen!$C$23,ROUND(ROUND(('Loonschijven_Tranches salariale'!$Q25*0.6),4)*$W$1,2)+ROUND(Basisbedragen!$C$56*$W$1,2),ROUND(ROUND((Basisbedragen!$C$23*0.6),4)*$W$1,2)+ROUND(Basisbedragen!$C$56*$W$1,2)))</f>
        <v>69.14</v>
      </c>
      <c r="Q26" s="59">
        <f t="shared" si="5"/>
        <v>69.14</v>
      </c>
      <c r="R26" s="59">
        <f t="shared" si="5"/>
        <v>69.14</v>
      </c>
      <c r="S26" s="59">
        <f t="shared" si="5"/>
        <v>69.14</v>
      </c>
      <c r="T26" s="59">
        <f t="shared" si="5"/>
        <v>69.14</v>
      </c>
      <c r="U26" s="43"/>
      <c r="V26" s="317">
        <f>M26+IF(P26-N26&lt;ROUND(Basisbedragen!$C$57*$W$1,2),P26-N26,ROUND(Basisbedragen!$C$57*$W$1,2))</f>
        <v>59.65</v>
      </c>
      <c r="W26" s="59">
        <f>N26+IF(P26-N26&lt;ROUND(Basisbedragen!$C$57*$W$1,2),P26-N26,ROUND(Basisbedragen!$C$57*$W$1,2))</f>
        <v>69.14</v>
      </c>
    </row>
    <row r="27" spans="1:23" ht="15.75" hidden="1" customHeight="1" outlineLevel="1" thickBot="1">
      <c r="A27" s="54">
        <f t="shared" si="6"/>
        <v>19</v>
      </c>
      <c r="C27" s="59">
        <f>IF(ROUND(ROUND(('Loonschijven_Tranches salariale'!$Q26*0.65),4)*$W$1,2)&lt;C$8,C$8,ROUND(ROUND(('Loonschijven_Tranches salariale'!$Q26*0.65),4)*$W$1,2))</f>
        <v>68.23</v>
      </c>
      <c r="D27" s="59">
        <f>IF(ROUND(ROUND(('Loonschijven_Tranches salariale'!$Q26*0.6),4)*$W$1,2)&lt;D$8,D$8,ROUND(ROUND(('Loonschijven_Tranches salariale'!$Q26*0.6),4)*$W$1,2))</f>
        <v>68.23</v>
      </c>
      <c r="E27" s="59">
        <f>IF(ROUND(ROUND(('Loonschijven_Tranches salariale'!$Q26*0.6),4)*$W$1,2)&lt;E$8,E$8,IF('Loonschijven_Tranches salariale'!$Q26&lt;Basisbedragen!$C$24,ROUND(ROUND(('Loonschijven_Tranches salariale'!$Q26*0.6),4)*$W$1,2),ROUND(ROUND((Basisbedragen!$C$24*0.6),4)*$W$1,2)))</f>
        <v>68.23</v>
      </c>
      <c r="F27" s="42"/>
      <c r="G27" s="59">
        <f>IF(ROUND(ROUND(('Loonschijven_Tranches salariale'!$Q26*0.6),4)*$W$1,2)&lt;G$8,G$8,IF('Loonschijven_Tranches salariale'!$Q26&lt;Basisbedragen!$C$23,ROUND(ROUND(('Loonschijven_Tranches salariale'!$Q26*0.6),4)*$W$1,2),ROUND(ROUND((Basisbedragen!$C$23*0.6),4)*$W$1,2)))</f>
        <v>68.23</v>
      </c>
      <c r="H27" s="59">
        <f t="shared" si="4"/>
        <v>68.23</v>
      </c>
      <c r="I27" s="59">
        <f t="shared" si="4"/>
        <v>68.23</v>
      </c>
      <c r="J27" s="59">
        <f t="shared" si="4"/>
        <v>68.23</v>
      </c>
      <c r="K27" s="59">
        <f t="shared" si="4"/>
        <v>68.23</v>
      </c>
      <c r="L27" s="42"/>
      <c r="M27" s="42">
        <f t="shared" si="7"/>
        <v>58.74</v>
      </c>
      <c r="N27" s="59">
        <f t="shared" si="8"/>
        <v>68.23</v>
      </c>
      <c r="O27" s="42"/>
      <c r="P27" s="59">
        <f>IF(ROUND(ROUND(('Loonschijven_Tranches salariale'!$Q26*0.6),4)*$W$1,2)+ROUND(Basisbedragen!$C$56*$W$1,2)&lt;$P$8,$P$8,IF('Loonschijven_Tranches salariale'!$Q26&lt;Basisbedragen!$C$23,ROUND(ROUND(('Loonschijven_Tranches salariale'!$Q26*0.6),4)*$W$1,2)+ROUND(Basisbedragen!$C$56*$W$1,2),ROUND(ROUND((Basisbedragen!$C$23*0.6),4)*$W$1,2)+ROUND(Basisbedragen!$C$56*$W$1,2)))</f>
        <v>69.14</v>
      </c>
      <c r="Q27" s="59">
        <f t="shared" si="5"/>
        <v>69.14</v>
      </c>
      <c r="R27" s="59">
        <f t="shared" si="5"/>
        <v>69.14</v>
      </c>
      <c r="S27" s="59">
        <f t="shared" si="5"/>
        <v>69.14</v>
      </c>
      <c r="T27" s="59">
        <f t="shared" si="5"/>
        <v>69.14</v>
      </c>
      <c r="U27" s="43"/>
      <c r="V27" s="317">
        <f>M27+IF(P27-N27&lt;ROUND(Basisbedragen!$C$57*$W$1,2),P27-N27,ROUND(Basisbedragen!$C$57*$W$1,2))</f>
        <v>59.65</v>
      </c>
      <c r="W27" s="59">
        <f>N27+IF(P27-N27&lt;ROUND(Basisbedragen!$C$57*$W$1,2),P27-N27,ROUND(Basisbedragen!$C$57*$W$1,2))</f>
        <v>69.14</v>
      </c>
    </row>
    <row r="28" spans="1:23" ht="15.75" hidden="1" customHeight="1" outlineLevel="1" thickBot="1">
      <c r="A28" s="54">
        <f t="shared" si="6"/>
        <v>20</v>
      </c>
      <c r="C28" s="59">
        <f>IF(ROUND(ROUND(('Loonschijven_Tranches salariale'!$Q27*0.65),4)*$W$1,2)&lt;C$8,C$8,ROUND(ROUND(('Loonschijven_Tranches salariale'!$Q27*0.65),4)*$W$1,2))</f>
        <v>68.23</v>
      </c>
      <c r="D28" s="59">
        <f>IF(ROUND(ROUND(('Loonschijven_Tranches salariale'!$Q27*0.6),4)*$W$1,2)&lt;D$8,D$8,ROUND(ROUND(('Loonschijven_Tranches salariale'!$Q27*0.6),4)*$W$1,2))</f>
        <v>68.23</v>
      </c>
      <c r="E28" s="59">
        <f>IF(ROUND(ROUND(('Loonschijven_Tranches salariale'!$Q27*0.6),4)*$W$1,2)&lt;E$8,E$8,IF('Loonschijven_Tranches salariale'!$Q27&lt;Basisbedragen!$C$24,ROUND(ROUND(('Loonschijven_Tranches salariale'!$Q27*0.6),4)*$W$1,2),ROUND(ROUND((Basisbedragen!$C$24*0.6),4)*$W$1,2)))</f>
        <v>68.23</v>
      </c>
      <c r="F28" s="42"/>
      <c r="G28" s="59">
        <f>IF(ROUND(ROUND(('Loonschijven_Tranches salariale'!$Q27*0.6),4)*$W$1,2)&lt;G$8,G$8,IF('Loonschijven_Tranches salariale'!$Q27&lt;Basisbedragen!$C$23,ROUND(ROUND(('Loonschijven_Tranches salariale'!$Q27*0.6),4)*$W$1,2),ROUND(ROUND((Basisbedragen!$C$23*0.6),4)*$W$1,2)))</f>
        <v>68.23</v>
      </c>
      <c r="H28" s="59">
        <f t="shared" si="4"/>
        <v>68.23</v>
      </c>
      <c r="I28" s="59">
        <f t="shared" si="4"/>
        <v>68.23</v>
      </c>
      <c r="J28" s="59">
        <f t="shared" si="4"/>
        <v>68.23</v>
      </c>
      <c r="K28" s="59">
        <f t="shared" si="4"/>
        <v>68.23</v>
      </c>
      <c r="L28" s="42"/>
      <c r="M28" s="42">
        <f t="shared" si="7"/>
        <v>58.74</v>
      </c>
      <c r="N28" s="59">
        <f t="shared" si="8"/>
        <v>68.23</v>
      </c>
      <c r="O28" s="42"/>
      <c r="P28" s="59">
        <f>IF(ROUND(ROUND(('Loonschijven_Tranches salariale'!$Q27*0.6),4)*$W$1,2)+ROUND(Basisbedragen!$C$56*$W$1,2)&lt;$P$8,$P$8,IF('Loonschijven_Tranches salariale'!$Q27&lt;Basisbedragen!$C$23,ROUND(ROUND(('Loonschijven_Tranches salariale'!$Q27*0.6),4)*$W$1,2)+ROUND(Basisbedragen!$C$56*$W$1,2),ROUND(ROUND((Basisbedragen!$C$23*0.6),4)*$W$1,2)+ROUND(Basisbedragen!$C$56*$W$1,2)))</f>
        <v>69.14</v>
      </c>
      <c r="Q28" s="59">
        <f t="shared" si="5"/>
        <v>69.14</v>
      </c>
      <c r="R28" s="59">
        <f t="shared" si="5"/>
        <v>69.14</v>
      </c>
      <c r="S28" s="59">
        <f t="shared" si="5"/>
        <v>69.14</v>
      </c>
      <c r="T28" s="59">
        <f t="shared" si="5"/>
        <v>69.14</v>
      </c>
      <c r="U28" s="43"/>
      <c r="V28" s="317">
        <f>M28+IF(P28-N28&lt;ROUND(Basisbedragen!$C$57*$W$1,2),P28-N28,ROUND(Basisbedragen!$C$57*$W$1,2))</f>
        <v>59.65</v>
      </c>
      <c r="W28" s="59">
        <f>N28+IF(P28-N28&lt;ROUND(Basisbedragen!$C$57*$W$1,2),P28-N28,ROUND(Basisbedragen!$C$57*$W$1,2))</f>
        <v>69.14</v>
      </c>
    </row>
    <row r="29" spans="1:23" ht="15.75" hidden="1" customHeight="1" outlineLevel="1" thickBot="1">
      <c r="A29" s="54">
        <f t="shared" si="6"/>
        <v>21</v>
      </c>
      <c r="C29" s="59">
        <f>IF(ROUND(ROUND(('Loonschijven_Tranches salariale'!$Q28*0.65),4)*$W$1,2)&lt;C$8,C$8,ROUND(ROUND(('Loonschijven_Tranches salariale'!$Q28*0.65),4)*$W$1,2))</f>
        <v>68.23</v>
      </c>
      <c r="D29" s="59">
        <f>IF(ROUND(ROUND(('Loonschijven_Tranches salariale'!$Q28*0.6),4)*$W$1,2)&lt;D$8,D$8,ROUND(ROUND(('Loonschijven_Tranches salariale'!$Q28*0.6),4)*$W$1,2))</f>
        <v>68.23</v>
      </c>
      <c r="E29" s="59">
        <f>IF(ROUND(ROUND(('Loonschijven_Tranches salariale'!$Q28*0.6),4)*$W$1,2)&lt;E$8,E$8,IF('Loonschijven_Tranches salariale'!$Q28&lt;Basisbedragen!$C$24,ROUND(ROUND(('Loonschijven_Tranches salariale'!$Q28*0.6),4)*$W$1,2),ROUND(ROUND((Basisbedragen!$C$24*0.6),4)*$W$1,2)))</f>
        <v>68.23</v>
      </c>
      <c r="F29" s="42"/>
      <c r="G29" s="59">
        <f>IF(ROUND(ROUND(('Loonschijven_Tranches salariale'!$Q28*0.6),4)*$W$1,2)&lt;G$8,G$8,IF('Loonschijven_Tranches salariale'!$Q28&lt;Basisbedragen!$C$23,ROUND(ROUND(('Loonschijven_Tranches salariale'!$Q28*0.6),4)*$W$1,2),ROUND(ROUND((Basisbedragen!$C$23*0.6),4)*$W$1,2)))</f>
        <v>68.23</v>
      </c>
      <c r="H29" s="59">
        <f t="shared" si="4"/>
        <v>68.23</v>
      </c>
      <c r="I29" s="59">
        <f t="shared" si="4"/>
        <v>68.23</v>
      </c>
      <c r="J29" s="59">
        <f t="shared" si="4"/>
        <v>68.23</v>
      </c>
      <c r="K29" s="59">
        <f t="shared" si="4"/>
        <v>68.23</v>
      </c>
      <c r="L29" s="42"/>
      <c r="M29" s="42">
        <f t="shared" si="7"/>
        <v>58.74</v>
      </c>
      <c r="N29" s="59">
        <f t="shared" si="8"/>
        <v>68.23</v>
      </c>
      <c r="O29" s="42"/>
      <c r="P29" s="59">
        <f>IF(ROUND(ROUND(('Loonschijven_Tranches salariale'!$Q28*0.6),4)*$W$1,2)+ROUND(Basisbedragen!$C$56*$W$1,2)&lt;$P$8,$P$8,IF('Loonschijven_Tranches salariale'!$Q28&lt;Basisbedragen!$C$23,ROUND(ROUND(('Loonschijven_Tranches salariale'!$Q28*0.6),4)*$W$1,2)+ROUND(Basisbedragen!$C$56*$W$1,2),ROUND(ROUND((Basisbedragen!$C$23*0.6),4)*$W$1,2)+ROUND(Basisbedragen!$C$56*$W$1,2)))</f>
        <v>69.14</v>
      </c>
      <c r="Q29" s="59">
        <f t="shared" si="5"/>
        <v>69.14</v>
      </c>
      <c r="R29" s="59">
        <f t="shared" si="5"/>
        <v>69.14</v>
      </c>
      <c r="S29" s="59">
        <f t="shared" si="5"/>
        <v>69.14</v>
      </c>
      <c r="T29" s="59">
        <f t="shared" si="5"/>
        <v>69.14</v>
      </c>
      <c r="U29" s="43"/>
      <c r="V29" s="317">
        <f>M29+IF(P29-N29&lt;ROUND(Basisbedragen!$C$57*$W$1,2),P29-N29,ROUND(Basisbedragen!$C$57*$W$1,2))</f>
        <v>59.65</v>
      </c>
      <c r="W29" s="59">
        <f>N29+IF(P29-N29&lt;ROUND(Basisbedragen!$C$57*$W$1,2),P29-N29,ROUND(Basisbedragen!$C$57*$W$1,2))</f>
        <v>69.14</v>
      </c>
    </row>
    <row r="30" spans="1:23" ht="15.75" hidden="1" customHeight="1" outlineLevel="1" thickBot="1">
      <c r="A30" s="54">
        <f t="shared" si="6"/>
        <v>22</v>
      </c>
      <c r="C30" s="59">
        <f>IF(ROUND(ROUND(('Loonschijven_Tranches salariale'!$Q29*0.65),4)*$W$1,2)&lt;C$8,C$8,ROUND(ROUND(('Loonschijven_Tranches salariale'!$Q29*0.65),4)*$W$1,2))</f>
        <v>68.23</v>
      </c>
      <c r="D30" s="59">
        <f>IF(ROUND(ROUND(('Loonschijven_Tranches salariale'!$Q29*0.6),4)*$W$1,2)&lt;D$8,D$8,ROUND(ROUND(('Loonschijven_Tranches salariale'!$Q29*0.6),4)*$W$1,2))</f>
        <v>68.23</v>
      </c>
      <c r="E30" s="59">
        <f>IF(ROUND(ROUND(('Loonschijven_Tranches salariale'!$Q29*0.6),4)*$W$1,2)&lt;E$8,E$8,IF('Loonschijven_Tranches salariale'!$Q29&lt;Basisbedragen!$C$24,ROUND(ROUND(('Loonschijven_Tranches salariale'!$Q29*0.6),4)*$W$1,2),ROUND(ROUND((Basisbedragen!$C$24*0.6),4)*$W$1,2)))</f>
        <v>68.23</v>
      </c>
      <c r="F30" s="42"/>
      <c r="G30" s="59">
        <f>IF(ROUND(ROUND(('Loonschijven_Tranches salariale'!$Q29*0.6),4)*$W$1,2)&lt;G$8,G$8,IF('Loonschijven_Tranches salariale'!$Q29&lt;Basisbedragen!$C$23,ROUND(ROUND(('Loonschijven_Tranches salariale'!$Q29*0.6),4)*$W$1,2),ROUND(ROUND((Basisbedragen!$C$23*0.6),4)*$W$1,2)))</f>
        <v>68.23</v>
      </c>
      <c r="H30" s="59">
        <f t="shared" si="4"/>
        <v>68.23</v>
      </c>
      <c r="I30" s="59">
        <f t="shared" si="4"/>
        <v>68.23</v>
      </c>
      <c r="J30" s="59">
        <f t="shared" si="4"/>
        <v>68.23</v>
      </c>
      <c r="K30" s="59">
        <f t="shared" si="4"/>
        <v>68.23</v>
      </c>
      <c r="L30" s="42"/>
      <c r="M30" s="42">
        <f t="shared" si="7"/>
        <v>58.74</v>
      </c>
      <c r="N30" s="59">
        <f t="shared" si="8"/>
        <v>68.23</v>
      </c>
      <c r="O30" s="42"/>
      <c r="P30" s="59">
        <f>IF(ROUND(ROUND(('Loonschijven_Tranches salariale'!$Q29*0.6),4)*$W$1,2)+ROUND(Basisbedragen!$C$56*$W$1,2)&lt;$P$8,$P$8,IF('Loonschijven_Tranches salariale'!$Q29&lt;Basisbedragen!$C$23,ROUND(ROUND(('Loonschijven_Tranches salariale'!$Q29*0.6),4)*$W$1,2)+ROUND(Basisbedragen!$C$56*$W$1,2),ROUND(ROUND((Basisbedragen!$C$23*0.6),4)*$W$1,2)+ROUND(Basisbedragen!$C$56*$W$1,2)))</f>
        <v>69.14</v>
      </c>
      <c r="Q30" s="59">
        <f t="shared" si="5"/>
        <v>69.14</v>
      </c>
      <c r="R30" s="59">
        <f t="shared" si="5"/>
        <v>69.14</v>
      </c>
      <c r="S30" s="59">
        <f t="shared" si="5"/>
        <v>69.14</v>
      </c>
      <c r="T30" s="59">
        <f t="shared" si="5"/>
        <v>69.14</v>
      </c>
      <c r="U30" s="43"/>
      <c r="V30" s="317">
        <f>M30+IF(P30-N30&lt;ROUND(Basisbedragen!$C$57*$W$1,2),P30-N30,ROUND(Basisbedragen!$C$57*$W$1,2))</f>
        <v>59.65</v>
      </c>
      <c r="W30" s="59">
        <f>N30+IF(P30-N30&lt;ROUND(Basisbedragen!$C$57*$W$1,2),P30-N30,ROUND(Basisbedragen!$C$57*$W$1,2))</f>
        <v>69.14</v>
      </c>
    </row>
    <row r="31" spans="1:23" ht="15.75" hidden="1" customHeight="1" outlineLevel="1" thickBot="1">
      <c r="A31" s="54">
        <f t="shared" si="6"/>
        <v>23</v>
      </c>
      <c r="C31" s="59">
        <f>IF(ROUND(ROUND(('Loonschijven_Tranches salariale'!$Q30*0.65),4)*$W$1,2)&lt;C$8,C$8,ROUND(ROUND(('Loonschijven_Tranches salariale'!$Q30*0.65),4)*$W$1,2))</f>
        <v>68.23</v>
      </c>
      <c r="D31" s="59">
        <f>IF(ROUND(ROUND(('Loonschijven_Tranches salariale'!$Q30*0.6),4)*$W$1,2)&lt;D$8,D$8,ROUND(ROUND(('Loonschijven_Tranches salariale'!$Q30*0.6),4)*$W$1,2))</f>
        <v>68.23</v>
      </c>
      <c r="E31" s="59">
        <f>IF(ROUND(ROUND(('Loonschijven_Tranches salariale'!$Q30*0.6),4)*$W$1,2)&lt;E$8,E$8,IF('Loonschijven_Tranches salariale'!$Q30&lt;Basisbedragen!$C$24,ROUND(ROUND(('Loonschijven_Tranches salariale'!$Q30*0.6),4)*$W$1,2),ROUND(ROUND((Basisbedragen!$C$24*0.6),4)*$W$1,2)))</f>
        <v>68.23</v>
      </c>
      <c r="F31" s="42"/>
      <c r="G31" s="59">
        <f>IF(ROUND(ROUND(('Loonschijven_Tranches salariale'!$Q30*0.6),4)*$W$1,2)&lt;G$8,G$8,IF('Loonschijven_Tranches salariale'!$Q30&lt;Basisbedragen!$C$23,ROUND(ROUND(('Loonschijven_Tranches salariale'!$Q30*0.6),4)*$W$1,2),ROUND(ROUND((Basisbedragen!$C$23*0.6),4)*$W$1,2)))</f>
        <v>68.23</v>
      </c>
      <c r="H31" s="59">
        <f t="shared" si="4"/>
        <v>68.23</v>
      </c>
      <c r="I31" s="59">
        <f t="shared" si="4"/>
        <v>68.23</v>
      </c>
      <c r="J31" s="59">
        <f t="shared" si="4"/>
        <v>68.23</v>
      </c>
      <c r="K31" s="59">
        <f t="shared" si="4"/>
        <v>68.23</v>
      </c>
      <c r="L31" s="42"/>
      <c r="M31" s="42">
        <f t="shared" si="7"/>
        <v>58.74</v>
      </c>
      <c r="N31" s="59">
        <f t="shared" si="8"/>
        <v>68.23</v>
      </c>
      <c r="O31" s="42"/>
      <c r="P31" s="59">
        <f>IF(ROUND(ROUND(('Loonschijven_Tranches salariale'!$Q30*0.6),4)*$W$1,2)+ROUND(Basisbedragen!$C$56*$W$1,2)&lt;$P$8,$P$8,IF('Loonschijven_Tranches salariale'!$Q30&lt;Basisbedragen!$C$23,ROUND(ROUND(('Loonschijven_Tranches salariale'!$Q30*0.6),4)*$W$1,2)+ROUND(Basisbedragen!$C$56*$W$1,2),ROUND(ROUND((Basisbedragen!$C$23*0.6),4)*$W$1,2)+ROUND(Basisbedragen!$C$56*$W$1,2)))</f>
        <v>69.14</v>
      </c>
      <c r="Q31" s="59">
        <f t="shared" si="5"/>
        <v>69.14</v>
      </c>
      <c r="R31" s="59">
        <f t="shared" si="5"/>
        <v>69.14</v>
      </c>
      <c r="S31" s="59">
        <f t="shared" si="5"/>
        <v>69.14</v>
      </c>
      <c r="T31" s="59">
        <f t="shared" si="5"/>
        <v>69.14</v>
      </c>
      <c r="U31" s="43"/>
      <c r="V31" s="317">
        <f>M31+IF(P31-N31&lt;ROUND(Basisbedragen!$C$57*$W$1,2),P31-N31,ROUND(Basisbedragen!$C$57*$W$1,2))</f>
        <v>59.65</v>
      </c>
      <c r="W31" s="59">
        <f>N31+IF(P31-N31&lt;ROUND(Basisbedragen!$C$57*$W$1,2),P31-N31,ROUND(Basisbedragen!$C$57*$W$1,2))</f>
        <v>69.14</v>
      </c>
    </row>
    <row r="32" spans="1:23" ht="15.75" hidden="1" customHeight="1" outlineLevel="1" thickBot="1">
      <c r="A32" s="54">
        <f t="shared" si="6"/>
        <v>24</v>
      </c>
      <c r="C32" s="59">
        <f>IF(ROUND(ROUND(('Loonschijven_Tranches salariale'!$Q31*0.65),4)*$W$1,2)&lt;C$8,C$8,ROUND(ROUND(('Loonschijven_Tranches salariale'!$Q31*0.65),4)*$W$1,2))</f>
        <v>68.23</v>
      </c>
      <c r="D32" s="59">
        <f>IF(ROUND(ROUND(('Loonschijven_Tranches salariale'!$Q31*0.6),4)*$W$1,2)&lt;D$8,D$8,ROUND(ROUND(('Loonschijven_Tranches salariale'!$Q31*0.6),4)*$W$1,2))</f>
        <v>68.23</v>
      </c>
      <c r="E32" s="59">
        <f>IF(ROUND(ROUND(('Loonschijven_Tranches salariale'!$Q31*0.6),4)*$W$1,2)&lt;E$8,E$8,IF('Loonschijven_Tranches salariale'!$Q31&lt;Basisbedragen!$C$24,ROUND(ROUND(('Loonschijven_Tranches salariale'!$Q31*0.6),4)*$W$1,2),ROUND(ROUND((Basisbedragen!$C$24*0.6),4)*$W$1,2)))</f>
        <v>68.23</v>
      </c>
      <c r="F32" s="42"/>
      <c r="G32" s="59">
        <f>IF(ROUND(ROUND(('Loonschijven_Tranches salariale'!$Q31*0.6),4)*$W$1,2)&lt;G$8,G$8,IF('Loonschijven_Tranches salariale'!$Q31&lt;Basisbedragen!$C$23,ROUND(ROUND(('Loonschijven_Tranches salariale'!$Q31*0.6),4)*$W$1,2),ROUND(ROUND((Basisbedragen!$C$23*0.6),4)*$W$1,2)))</f>
        <v>68.23</v>
      </c>
      <c r="H32" s="59">
        <f t="shared" si="4"/>
        <v>68.23</v>
      </c>
      <c r="I32" s="59">
        <f t="shared" si="4"/>
        <v>68.23</v>
      </c>
      <c r="J32" s="59">
        <f t="shared" si="4"/>
        <v>68.23</v>
      </c>
      <c r="K32" s="59">
        <f t="shared" si="4"/>
        <v>68.23</v>
      </c>
      <c r="L32" s="42"/>
      <c r="M32" s="42">
        <f t="shared" si="7"/>
        <v>58.74</v>
      </c>
      <c r="N32" s="59">
        <f t="shared" si="8"/>
        <v>68.23</v>
      </c>
      <c r="O32" s="42"/>
      <c r="P32" s="59">
        <f>IF(ROUND(ROUND(('Loonschijven_Tranches salariale'!$Q31*0.6),4)*$W$1,2)+ROUND(Basisbedragen!$C$56*$W$1,2)&lt;$P$8,$P$8,IF('Loonschijven_Tranches salariale'!$Q31&lt;Basisbedragen!$C$23,ROUND(ROUND(('Loonschijven_Tranches salariale'!$Q31*0.6),4)*$W$1,2)+ROUND(Basisbedragen!$C$56*$W$1,2),ROUND(ROUND((Basisbedragen!$C$23*0.6),4)*$W$1,2)+ROUND(Basisbedragen!$C$56*$W$1,2)))</f>
        <v>69.14</v>
      </c>
      <c r="Q32" s="59">
        <f t="shared" si="5"/>
        <v>69.14</v>
      </c>
      <c r="R32" s="59">
        <f t="shared" si="5"/>
        <v>69.14</v>
      </c>
      <c r="S32" s="59">
        <f t="shared" si="5"/>
        <v>69.14</v>
      </c>
      <c r="T32" s="59">
        <f t="shared" si="5"/>
        <v>69.14</v>
      </c>
      <c r="U32" s="43"/>
      <c r="V32" s="317">
        <f>M32+IF(P32-N32&lt;ROUND(Basisbedragen!$C$57*$W$1,2),P32-N32,ROUND(Basisbedragen!$C$57*$W$1,2))</f>
        <v>59.65</v>
      </c>
      <c r="W32" s="59">
        <f>N32+IF(P32-N32&lt;ROUND(Basisbedragen!$C$57*$W$1,2),P32-N32,ROUND(Basisbedragen!$C$57*$W$1,2))</f>
        <v>69.14</v>
      </c>
    </row>
    <row r="33" spans="1:23" ht="15.75" hidden="1" customHeight="1" outlineLevel="1" thickBot="1">
      <c r="A33" s="54">
        <f t="shared" si="6"/>
        <v>25</v>
      </c>
      <c r="C33" s="59">
        <f>IF(ROUND(ROUND(('Loonschijven_Tranches salariale'!$Q32*0.65),4)*$W$1,2)&lt;C$8,C$8,ROUND(ROUND(('Loonschijven_Tranches salariale'!$Q32*0.65),4)*$W$1,2))</f>
        <v>68.23</v>
      </c>
      <c r="D33" s="59">
        <f>IF(ROUND(ROUND(('Loonschijven_Tranches salariale'!$Q32*0.6),4)*$W$1,2)&lt;D$8,D$8,ROUND(ROUND(('Loonschijven_Tranches salariale'!$Q32*0.6),4)*$W$1,2))</f>
        <v>68.23</v>
      </c>
      <c r="E33" s="59">
        <f>IF(ROUND(ROUND(('Loonschijven_Tranches salariale'!$Q32*0.6),4)*$W$1,2)&lt;E$8,E$8,IF('Loonschijven_Tranches salariale'!$Q32&lt;Basisbedragen!$C$24,ROUND(ROUND(('Loonschijven_Tranches salariale'!$Q32*0.6),4)*$W$1,2),ROUND(ROUND((Basisbedragen!$C$24*0.6),4)*$W$1,2)))</f>
        <v>68.23</v>
      </c>
      <c r="F33" s="42"/>
      <c r="G33" s="59">
        <f>IF(ROUND(ROUND(('Loonschijven_Tranches salariale'!$Q32*0.6),4)*$W$1,2)&lt;G$8,G$8,IF('Loonschijven_Tranches salariale'!$Q32&lt;Basisbedragen!$C$23,ROUND(ROUND(('Loonschijven_Tranches salariale'!$Q32*0.6),4)*$W$1,2),ROUND(ROUND((Basisbedragen!$C$23*0.6),4)*$W$1,2)))</f>
        <v>68.23</v>
      </c>
      <c r="H33" s="59">
        <f t="shared" si="4"/>
        <v>68.23</v>
      </c>
      <c r="I33" s="59">
        <f t="shared" si="4"/>
        <v>68.23</v>
      </c>
      <c r="J33" s="59">
        <f t="shared" si="4"/>
        <v>68.23</v>
      </c>
      <c r="K33" s="59">
        <f t="shared" si="4"/>
        <v>68.23</v>
      </c>
      <c r="L33" s="42"/>
      <c r="M33" s="42">
        <f t="shared" si="7"/>
        <v>58.74</v>
      </c>
      <c r="N33" s="59">
        <f t="shared" si="8"/>
        <v>68.23</v>
      </c>
      <c r="O33" s="42"/>
      <c r="P33" s="59">
        <f>IF(ROUND(ROUND(('Loonschijven_Tranches salariale'!$Q32*0.6),4)*$W$1,2)+ROUND(Basisbedragen!$C$56*$W$1,2)&lt;$P$8,$P$8,IF('Loonschijven_Tranches salariale'!$Q32&lt;Basisbedragen!$C$23,ROUND(ROUND(('Loonschijven_Tranches salariale'!$Q32*0.6),4)*$W$1,2)+ROUND(Basisbedragen!$C$56*$W$1,2),ROUND(ROUND((Basisbedragen!$C$23*0.6),4)*$W$1,2)+ROUND(Basisbedragen!$C$56*$W$1,2)))</f>
        <v>69.14</v>
      </c>
      <c r="Q33" s="59">
        <f t="shared" si="5"/>
        <v>69.14</v>
      </c>
      <c r="R33" s="59">
        <f t="shared" si="5"/>
        <v>69.14</v>
      </c>
      <c r="S33" s="59">
        <f t="shared" si="5"/>
        <v>69.14</v>
      </c>
      <c r="T33" s="59">
        <f t="shared" si="5"/>
        <v>69.14</v>
      </c>
      <c r="U33" s="43"/>
      <c r="V33" s="317">
        <f>M33+IF(P33-N33&lt;ROUND(Basisbedragen!$C$57*$W$1,2),P33-N33,ROUND(Basisbedragen!$C$57*$W$1,2))</f>
        <v>59.65</v>
      </c>
      <c r="W33" s="59">
        <f>N33+IF(P33-N33&lt;ROUND(Basisbedragen!$C$57*$W$1,2),P33-N33,ROUND(Basisbedragen!$C$57*$W$1,2))</f>
        <v>69.14</v>
      </c>
    </row>
    <row r="34" spans="1:23" ht="15.75" hidden="1" customHeight="1" outlineLevel="1" thickBot="1">
      <c r="A34" s="54">
        <f t="shared" si="6"/>
        <v>26</v>
      </c>
      <c r="C34" s="59">
        <f>IF(ROUND(ROUND(('Loonschijven_Tranches salariale'!$Q33*0.65),4)*$W$1,2)&lt;C$8,C$8,ROUND(ROUND(('Loonschijven_Tranches salariale'!$Q33*0.65),4)*$W$1,2))</f>
        <v>68.23</v>
      </c>
      <c r="D34" s="59">
        <f>IF(ROUND(ROUND(('Loonschijven_Tranches salariale'!$Q33*0.6),4)*$W$1,2)&lt;D$8,D$8,ROUND(ROUND(('Loonschijven_Tranches salariale'!$Q33*0.6),4)*$W$1,2))</f>
        <v>68.23</v>
      </c>
      <c r="E34" s="59">
        <f>IF(ROUND(ROUND(('Loonschijven_Tranches salariale'!$Q33*0.6),4)*$W$1,2)&lt;E$8,E$8,IF('Loonschijven_Tranches salariale'!$Q33&lt;Basisbedragen!$C$24,ROUND(ROUND(('Loonschijven_Tranches salariale'!$Q33*0.6),4)*$W$1,2),ROUND(ROUND((Basisbedragen!$C$24*0.6),4)*$W$1,2)))</f>
        <v>68.23</v>
      </c>
      <c r="F34" s="42"/>
      <c r="G34" s="59">
        <f>IF(ROUND(ROUND(('Loonschijven_Tranches salariale'!$Q33*0.6),4)*$W$1,2)&lt;G$8,G$8,IF('Loonschijven_Tranches salariale'!$Q33&lt;Basisbedragen!$C$23,ROUND(ROUND(('Loonschijven_Tranches salariale'!$Q33*0.6),4)*$W$1,2),ROUND(ROUND((Basisbedragen!$C$23*0.6),4)*$W$1,2)))</f>
        <v>68.23</v>
      </c>
      <c r="H34" s="59">
        <f t="shared" si="4"/>
        <v>68.23</v>
      </c>
      <c r="I34" s="59">
        <f t="shared" si="4"/>
        <v>68.23</v>
      </c>
      <c r="J34" s="59">
        <f t="shared" si="4"/>
        <v>68.23</v>
      </c>
      <c r="K34" s="59">
        <f t="shared" si="4"/>
        <v>68.23</v>
      </c>
      <c r="L34" s="42"/>
      <c r="M34" s="42">
        <f t="shared" si="7"/>
        <v>58.74</v>
      </c>
      <c r="N34" s="59">
        <f t="shared" si="8"/>
        <v>68.23</v>
      </c>
      <c r="O34" s="42"/>
      <c r="P34" s="59">
        <f>IF(ROUND(ROUND(('Loonschijven_Tranches salariale'!$Q33*0.6),4)*$W$1,2)+ROUND(Basisbedragen!$C$56*$W$1,2)&lt;$P$8,$P$8,IF('Loonschijven_Tranches salariale'!$Q33&lt;Basisbedragen!$C$23,ROUND(ROUND(('Loonschijven_Tranches salariale'!$Q33*0.6),4)*$W$1,2)+ROUND(Basisbedragen!$C$56*$W$1,2),ROUND(ROUND((Basisbedragen!$C$23*0.6),4)*$W$1,2)+ROUND(Basisbedragen!$C$56*$W$1,2)))</f>
        <v>69.14</v>
      </c>
      <c r="Q34" s="59">
        <f t="shared" si="5"/>
        <v>69.14</v>
      </c>
      <c r="R34" s="59">
        <f t="shared" si="5"/>
        <v>69.14</v>
      </c>
      <c r="S34" s="59">
        <f t="shared" si="5"/>
        <v>69.14</v>
      </c>
      <c r="T34" s="59">
        <f t="shared" si="5"/>
        <v>69.14</v>
      </c>
      <c r="U34" s="43"/>
      <c r="V34" s="317">
        <f>M34+IF(P34-N34&lt;ROUND(Basisbedragen!$C$57*$W$1,2),P34-N34,ROUND(Basisbedragen!$C$57*$W$1,2))</f>
        <v>59.65</v>
      </c>
      <c r="W34" s="59">
        <f>N34+IF(P34-N34&lt;ROUND(Basisbedragen!$C$57*$W$1,2),P34-N34,ROUND(Basisbedragen!$C$57*$W$1,2))</f>
        <v>69.14</v>
      </c>
    </row>
    <row r="35" spans="1:23" ht="15.75" hidden="1" customHeight="1" outlineLevel="1" thickBot="1">
      <c r="A35" s="54">
        <f t="shared" si="6"/>
        <v>27</v>
      </c>
      <c r="C35" s="59">
        <f>IF(ROUND(ROUND(('Loonschijven_Tranches salariale'!$Q34*0.65),4)*$W$1,2)&lt;C$8,C$8,ROUND(ROUND(('Loonschijven_Tranches salariale'!$Q34*0.65),4)*$W$1,2))</f>
        <v>68.23</v>
      </c>
      <c r="D35" s="59">
        <f>IF(ROUND(ROUND(('Loonschijven_Tranches salariale'!$Q34*0.6),4)*$W$1,2)&lt;D$8,D$8,ROUND(ROUND(('Loonschijven_Tranches salariale'!$Q34*0.6),4)*$W$1,2))</f>
        <v>68.23</v>
      </c>
      <c r="E35" s="59">
        <f>IF(ROUND(ROUND(('Loonschijven_Tranches salariale'!$Q34*0.6),4)*$W$1,2)&lt;E$8,E$8,IF('Loonschijven_Tranches salariale'!$Q34&lt;Basisbedragen!$C$24,ROUND(ROUND(('Loonschijven_Tranches salariale'!$Q34*0.6),4)*$W$1,2),ROUND(ROUND((Basisbedragen!$C$24*0.6),4)*$W$1,2)))</f>
        <v>68.23</v>
      </c>
      <c r="F35" s="42"/>
      <c r="G35" s="59">
        <f>IF(ROUND(ROUND(('Loonschijven_Tranches salariale'!$Q34*0.6),4)*$W$1,2)&lt;G$8,G$8,IF('Loonschijven_Tranches salariale'!$Q34&lt;Basisbedragen!$C$23,ROUND(ROUND(('Loonschijven_Tranches salariale'!$Q34*0.6),4)*$W$1,2),ROUND(ROUND((Basisbedragen!$C$23*0.6),4)*$W$1,2)))</f>
        <v>68.23</v>
      </c>
      <c r="H35" s="59">
        <f t="shared" si="4"/>
        <v>68.23</v>
      </c>
      <c r="I35" s="59">
        <f t="shared" si="4"/>
        <v>68.23</v>
      </c>
      <c r="J35" s="59">
        <f t="shared" si="4"/>
        <v>68.23</v>
      </c>
      <c r="K35" s="59">
        <f t="shared" si="4"/>
        <v>68.23</v>
      </c>
      <c r="L35" s="42"/>
      <c r="M35" s="42">
        <f t="shared" si="7"/>
        <v>58.74</v>
      </c>
      <c r="N35" s="59">
        <f t="shared" si="8"/>
        <v>68.23</v>
      </c>
      <c r="O35" s="42"/>
      <c r="P35" s="59">
        <f>IF(ROUND(ROUND(('Loonschijven_Tranches salariale'!$Q34*0.6),4)*$W$1,2)+ROUND(Basisbedragen!$C$56*$W$1,2)&lt;$P$8,$P$8,IF('Loonschijven_Tranches salariale'!$Q34&lt;Basisbedragen!$C$23,ROUND(ROUND(('Loonschijven_Tranches salariale'!$Q34*0.6),4)*$W$1,2)+ROUND(Basisbedragen!$C$56*$W$1,2),ROUND(ROUND((Basisbedragen!$C$23*0.6),4)*$W$1,2)+ROUND(Basisbedragen!$C$56*$W$1,2)))</f>
        <v>69.14</v>
      </c>
      <c r="Q35" s="59">
        <f t="shared" si="5"/>
        <v>69.14</v>
      </c>
      <c r="R35" s="59">
        <f t="shared" si="5"/>
        <v>69.14</v>
      </c>
      <c r="S35" s="59">
        <f t="shared" si="5"/>
        <v>69.14</v>
      </c>
      <c r="T35" s="59">
        <f t="shared" si="5"/>
        <v>69.14</v>
      </c>
      <c r="U35" s="43"/>
      <c r="V35" s="317">
        <f>M35+IF(P35-N35&lt;ROUND(Basisbedragen!$C$57*$W$1,2),P35-N35,ROUND(Basisbedragen!$C$57*$W$1,2))</f>
        <v>59.65</v>
      </c>
      <c r="W35" s="59">
        <f>N35+IF(P35-N35&lt;ROUND(Basisbedragen!$C$57*$W$1,2),P35-N35,ROUND(Basisbedragen!$C$57*$W$1,2))</f>
        <v>69.14</v>
      </c>
    </row>
    <row r="36" spans="1:23" ht="15.75" hidden="1" customHeight="1" outlineLevel="1" thickBot="1">
      <c r="A36" s="54">
        <f t="shared" si="6"/>
        <v>28</v>
      </c>
      <c r="C36" s="59">
        <f>IF(ROUND(ROUND(('Loonschijven_Tranches salariale'!$Q35*0.65),4)*$W$1,2)&lt;C$8,C$8,ROUND(ROUND(('Loonschijven_Tranches salariale'!$Q35*0.65),4)*$W$1,2))</f>
        <v>68.23</v>
      </c>
      <c r="D36" s="59">
        <f>IF(ROUND(ROUND(('Loonschijven_Tranches salariale'!$Q35*0.6),4)*$W$1,2)&lt;D$8,D$8,ROUND(ROUND(('Loonschijven_Tranches salariale'!$Q35*0.6),4)*$W$1,2))</f>
        <v>68.23</v>
      </c>
      <c r="E36" s="59">
        <f>IF(ROUND(ROUND(('Loonschijven_Tranches salariale'!$Q35*0.6),4)*$W$1,2)&lt;E$8,E$8,IF('Loonschijven_Tranches salariale'!$Q35&lt;Basisbedragen!$C$24,ROUND(ROUND(('Loonschijven_Tranches salariale'!$Q35*0.6),4)*$W$1,2),ROUND(ROUND((Basisbedragen!$C$24*0.6),4)*$W$1,2)))</f>
        <v>68.23</v>
      </c>
      <c r="F36" s="42"/>
      <c r="G36" s="59">
        <f>IF(ROUND(ROUND(('Loonschijven_Tranches salariale'!$Q35*0.6),4)*$W$1,2)&lt;G$8,G$8,IF('Loonschijven_Tranches salariale'!$Q35&lt;Basisbedragen!$C$23,ROUND(ROUND(('Loonschijven_Tranches salariale'!$Q35*0.6),4)*$W$1,2),ROUND(ROUND((Basisbedragen!$C$23*0.6),4)*$W$1,2)))</f>
        <v>68.23</v>
      </c>
      <c r="H36" s="59">
        <f t="shared" si="4"/>
        <v>68.23</v>
      </c>
      <c r="I36" s="59">
        <f t="shared" si="4"/>
        <v>68.23</v>
      </c>
      <c r="J36" s="59">
        <f t="shared" si="4"/>
        <v>68.23</v>
      </c>
      <c r="K36" s="59">
        <f t="shared" si="4"/>
        <v>68.23</v>
      </c>
      <c r="L36" s="42"/>
      <c r="M36" s="42">
        <f t="shared" si="7"/>
        <v>58.74</v>
      </c>
      <c r="N36" s="59">
        <f t="shared" si="8"/>
        <v>68.23</v>
      </c>
      <c r="O36" s="42"/>
      <c r="P36" s="59">
        <f>IF(ROUND(ROUND(('Loonschijven_Tranches salariale'!$Q35*0.6),4)*$W$1,2)+ROUND(Basisbedragen!$C$56*$W$1,2)&lt;$P$8,$P$8,IF('Loonschijven_Tranches salariale'!$Q35&lt;Basisbedragen!$C$23,ROUND(ROUND(('Loonschijven_Tranches salariale'!$Q35*0.6),4)*$W$1,2)+ROUND(Basisbedragen!$C$56*$W$1,2),ROUND(ROUND((Basisbedragen!$C$23*0.6),4)*$W$1,2)+ROUND(Basisbedragen!$C$56*$W$1,2)))</f>
        <v>69.14</v>
      </c>
      <c r="Q36" s="59">
        <f t="shared" si="5"/>
        <v>69.14</v>
      </c>
      <c r="R36" s="59">
        <f t="shared" si="5"/>
        <v>69.14</v>
      </c>
      <c r="S36" s="59">
        <f t="shared" si="5"/>
        <v>69.14</v>
      </c>
      <c r="T36" s="59">
        <f t="shared" si="5"/>
        <v>69.14</v>
      </c>
      <c r="U36" s="43"/>
      <c r="V36" s="317">
        <f>M36+IF(P36-N36&lt;ROUND(Basisbedragen!$C$57*$W$1,2),P36-N36,ROUND(Basisbedragen!$C$57*$W$1,2))</f>
        <v>59.65</v>
      </c>
      <c r="W36" s="59">
        <f>N36+IF(P36-N36&lt;ROUND(Basisbedragen!$C$57*$W$1,2),P36-N36,ROUND(Basisbedragen!$C$57*$W$1,2))</f>
        <v>69.14</v>
      </c>
    </row>
    <row r="37" spans="1:23" ht="15.75" hidden="1" customHeight="1" outlineLevel="1" thickBot="1">
      <c r="A37" s="54">
        <f t="shared" si="6"/>
        <v>29</v>
      </c>
      <c r="C37" s="59">
        <f>IF(ROUND(ROUND(('Loonschijven_Tranches salariale'!$Q36*0.65),4)*$W$1,2)&lt;C$8,C$8,ROUND(ROUND(('Loonschijven_Tranches salariale'!$Q36*0.65),4)*$W$1,2))</f>
        <v>68.23</v>
      </c>
      <c r="D37" s="59">
        <f>IF(ROUND(ROUND(('Loonschijven_Tranches salariale'!$Q36*0.6),4)*$W$1,2)&lt;D$8,D$8,ROUND(ROUND(('Loonschijven_Tranches salariale'!$Q36*0.6),4)*$W$1,2))</f>
        <v>68.23</v>
      </c>
      <c r="E37" s="59">
        <f>IF(ROUND(ROUND(('Loonschijven_Tranches salariale'!$Q36*0.6),4)*$W$1,2)&lt;E$8,E$8,IF('Loonschijven_Tranches salariale'!$Q36&lt;Basisbedragen!$C$24,ROUND(ROUND(('Loonschijven_Tranches salariale'!$Q36*0.6),4)*$W$1,2),ROUND(ROUND((Basisbedragen!$C$24*0.6),4)*$W$1,2)))</f>
        <v>68.23</v>
      </c>
      <c r="F37" s="42"/>
      <c r="G37" s="59">
        <f>IF(ROUND(ROUND(('Loonschijven_Tranches salariale'!$Q36*0.6),4)*$W$1,2)&lt;G$8,G$8,IF('Loonschijven_Tranches salariale'!$Q36&lt;Basisbedragen!$C$23,ROUND(ROUND(('Loonschijven_Tranches salariale'!$Q36*0.6),4)*$W$1,2),ROUND(ROUND((Basisbedragen!$C$23*0.6),4)*$W$1,2)))</f>
        <v>68.23</v>
      </c>
      <c r="H37" s="59">
        <f t="shared" si="4"/>
        <v>68.23</v>
      </c>
      <c r="I37" s="59">
        <f t="shared" si="4"/>
        <v>68.23</v>
      </c>
      <c r="J37" s="59">
        <f t="shared" si="4"/>
        <v>68.23</v>
      </c>
      <c r="K37" s="59">
        <f t="shared" si="4"/>
        <v>68.23</v>
      </c>
      <c r="L37" s="42"/>
      <c r="M37" s="42">
        <f t="shared" si="7"/>
        <v>58.74</v>
      </c>
      <c r="N37" s="59">
        <f t="shared" si="8"/>
        <v>68.23</v>
      </c>
      <c r="O37" s="42"/>
      <c r="P37" s="59">
        <f>IF(ROUND(ROUND(('Loonschijven_Tranches salariale'!$Q36*0.6),4)*$W$1,2)+ROUND(Basisbedragen!$C$56*$W$1,2)&lt;$P$8,$P$8,IF('Loonschijven_Tranches salariale'!$Q36&lt;Basisbedragen!$C$23,ROUND(ROUND(('Loonschijven_Tranches salariale'!$Q36*0.6),4)*$W$1,2)+ROUND(Basisbedragen!$C$56*$W$1,2),ROUND(ROUND((Basisbedragen!$C$23*0.6),4)*$W$1,2)+ROUND(Basisbedragen!$C$56*$W$1,2)))</f>
        <v>69.14</v>
      </c>
      <c r="Q37" s="59">
        <f t="shared" si="5"/>
        <v>69.14</v>
      </c>
      <c r="R37" s="59">
        <f t="shared" si="5"/>
        <v>69.14</v>
      </c>
      <c r="S37" s="59">
        <f t="shared" si="5"/>
        <v>69.14</v>
      </c>
      <c r="T37" s="59">
        <f t="shared" si="5"/>
        <v>69.14</v>
      </c>
      <c r="U37" s="43"/>
      <c r="V37" s="317">
        <f>M37+IF(P37-N37&lt;ROUND(Basisbedragen!$C$57*$W$1,2),P37-N37,ROUND(Basisbedragen!$C$57*$W$1,2))</f>
        <v>59.65</v>
      </c>
      <c r="W37" s="59">
        <f>N37+IF(P37-N37&lt;ROUND(Basisbedragen!$C$57*$W$1,2),P37-N37,ROUND(Basisbedragen!$C$57*$W$1,2))</f>
        <v>69.14</v>
      </c>
    </row>
    <row r="38" spans="1:23" ht="15.75" hidden="1" customHeight="1" outlineLevel="1" thickBot="1">
      <c r="A38" s="54">
        <f t="shared" si="6"/>
        <v>30</v>
      </c>
      <c r="C38" s="59">
        <f>IF(ROUND(ROUND(('Loonschijven_Tranches salariale'!$Q37*0.65),4)*$W$1,2)&lt;C$8,C$8,ROUND(ROUND(('Loonschijven_Tranches salariale'!$Q37*0.65),4)*$W$1,2))</f>
        <v>68.23</v>
      </c>
      <c r="D38" s="59">
        <f>IF(ROUND(ROUND(('Loonschijven_Tranches salariale'!$Q37*0.6),4)*$W$1,2)&lt;D$8,D$8,ROUND(ROUND(('Loonschijven_Tranches salariale'!$Q37*0.6),4)*$W$1,2))</f>
        <v>68.23</v>
      </c>
      <c r="E38" s="59">
        <f>IF(ROUND(ROUND(('Loonschijven_Tranches salariale'!$Q37*0.6),4)*$W$1,2)&lt;E$8,E$8,IF('Loonschijven_Tranches salariale'!$Q37&lt;Basisbedragen!$C$24,ROUND(ROUND(('Loonschijven_Tranches salariale'!$Q37*0.6),4)*$W$1,2),ROUND(ROUND((Basisbedragen!$C$24*0.6),4)*$W$1,2)))</f>
        <v>68.23</v>
      </c>
      <c r="F38" s="42"/>
      <c r="G38" s="59">
        <f>IF(ROUND(ROUND(('Loonschijven_Tranches salariale'!$Q37*0.6),4)*$W$1,2)&lt;G$8,G$8,IF('Loonschijven_Tranches salariale'!$Q37&lt;Basisbedragen!$C$23,ROUND(ROUND(('Loonschijven_Tranches salariale'!$Q37*0.6),4)*$W$1,2),ROUND(ROUND((Basisbedragen!$C$23*0.6),4)*$W$1,2)))</f>
        <v>68.23</v>
      </c>
      <c r="H38" s="59">
        <f t="shared" si="4"/>
        <v>68.23</v>
      </c>
      <c r="I38" s="59">
        <f t="shared" si="4"/>
        <v>68.23</v>
      </c>
      <c r="J38" s="59">
        <f t="shared" si="4"/>
        <v>68.23</v>
      </c>
      <c r="K38" s="59">
        <f t="shared" si="4"/>
        <v>68.23</v>
      </c>
      <c r="L38" s="42"/>
      <c r="M38" s="42">
        <f t="shared" si="7"/>
        <v>58.74</v>
      </c>
      <c r="N38" s="59">
        <f t="shared" si="8"/>
        <v>68.23</v>
      </c>
      <c r="O38" s="42"/>
      <c r="P38" s="59">
        <f>IF(ROUND(ROUND(('Loonschijven_Tranches salariale'!$Q37*0.6),4)*$W$1,2)+ROUND(Basisbedragen!$C$56*$W$1,2)&lt;$P$8,$P$8,IF('Loonschijven_Tranches salariale'!$Q37&lt;Basisbedragen!$C$23,ROUND(ROUND(('Loonschijven_Tranches salariale'!$Q37*0.6),4)*$W$1,2)+ROUND(Basisbedragen!$C$56*$W$1,2),ROUND(ROUND((Basisbedragen!$C$23*0.6),4)*$W$1,2)+ROUND(Basisbedragen!$C$56*$W$1,2)))</f>
        <v>69.14</v>
      </c>
      <c r="Q38" s="59">
        <f t="shared" si="5"/>
        <v>69.14</v>
      </c>
      <c r="R38" s="59">
        <f t="shared" si="5"/>
        <v>69.14</v>
      </c>
      <c r="S38" s="59">
        <f t="shared" si="5"/>
        <v>69.14</v>
      </c>
      <c r="T38" s="59">
        <f t="shared" si="5"/>
        <v>69.14</v>
      </c>
      <c r="U38" s="43"/>
      <c r="V38" s="317">
        <f>M38+IF(P38-N38&lt;ROUND(Basisbedragen!$C$57*$W$1,2),P38-N38,ROUND(Basisbedragen!$C$57*$W$1,2))</f>
        <v>59.65</v>
      </c>
      <c r="W38" s="59">
        <f>N38+IF(P38-N38&lt;ROUND(Basisbedragen!$C$57*$W$1,2),P38-N38,ROUND(Basisbedragen!$C$57*$W$1,2))</f>
        <v>69.14</v>
      </c>
    </row>
    <row r="39" spans="1:23" ht="15.75" hidden="1" customHeight="1" outlineLevel="1" thickBot="1">
      <c r="A39" s="54">
        <f t="shared" si="6"/>
        <v>31</v>
      </c>
      <c r="C39" s="59">
        <f>IF(ROUND(ROUND(('Loonschijven_Tranches salariale'!$Q38*0.65),4)*$W$1,2)&lt;C$8,C$8,ROUND(ROUND(('Loonschijven_Tranches salariale'!$Q38*0.65),4)*$W$1,2))</f>
        <v>68.23</v>
      </c>
      <c r="D39" s="59">
        <f>IF(ROUND(ROUND(('Loonschijven_Tranches salariale'!$Q38*0.6),4)*$W$1,2)&lt;D$8,D$8,ROUND(ROUND(('Loonschijven_Tranches salariale'!$Q38*0.6),4)*$W$1,2))</f>
        <v>68.23</v>
      </c>
      <c r="E39" s="59">
        <f>IF(ROUND(ROUND(('Loonschijven_Tranches salariale'!$Q38*0.6),4)*$W$1,2)&lt;E$8,E$8,IF('Loonschijven_Tranches salariale'!$Q38&lt;Basisbedragen!$C$24,ROUND(ROUND(('Loonschijven_Tranches salariale'!$Q38*0.6),4)*$W$1,2),ROUND(ROUND((Basisbedragen!$C$24*0.6),4)*$W$1,2)))</f>
        <v>68.23</v>
      </c>
      <c r="F39" s="42"/>
      <c r="G39" s="59">
        <f>IF(ROUND(ROUND(('Loonschijven_Tranches salariale'!$Q38*0.6),4)*$W$1,2)&lt;G$8,G$8,IF('Loonschijven_Tranches salariale'!$Q38&lt;Basisbedragen!$C$23,ROUND(ROUND(('Loonschijven_Tranches salariale'!$Q38*0.6),4)*$W$1,2),ROUND(ROUND((Basisbedragen!$C$23*0.6),4)*$W$1,2)))</f>
        <v>68.23</v>
      </c>
      <c r="H39" s="59">
        <f t="shared" si="4"/>
        <v>68.23</v>
      </c>
      <c r="I39" s="59">
        <f t="shared" si="4"/>
        <v>68.23</v>
      </c>
      <c r="J39" s="59">
        <f t="shared" si="4"/>
        <v>68.23</v>
      </c>
      <c r="K39" s="59">
        <f t="shared" si="4"/>
        <v>68.23</v>
      </c>
      <c r="L39" s="42"/>
      <c r="M39" s="42">
        <f t="shared" si="7"/>
        <v>58.74</v>
      </c>
      <c r="N39" s="59">
        <f t="shared" si="8"/>
        <v>68.23</v>
      </c>
      <c r="O39" s="42"/>
      <c r="P39" s="59">
        <f>IF(ROUND(ROUND(('Loonschijven_Tranches salariale'!$Q38*0.6),4)*$W$1,2)+ROUND(Basisbedragen!$C$56*$W$1,2)&lt;$P$8,$P$8,IF('Loonschijven_Tranches salariale'!$Q38&lt;Basisbedragen!$C$23,ROUND(ROUND(('Loonschijven_Tranches salariale'!$Q38*0.6),4)*$W$1,2)+ROUND(Basisbedragen!$C$56*$W$1,2),ROUND(ROUND((Basisbedragen!$C$23*0.6),4)*$W$1,2)+ROUND(Basisbedragen!$C$56*$W$1,2)))</f>
        <v>69.14</v>
      </c>
      <c r="Q39" s="59">
        <f t="shared" si="5"/>
        <v>69.14</v>
      </c>
      <c r="R39" s="59">
        <f t="shared" si="5"/>
        <v>69.14</v>
      </c>
      <c r="S39" s="59">
        <f t="shared" si="5"/>
        <v>69.14</v>
      </c>
      <c r="T39" s="59">
        <f t="shared" si="5"/>
        <v>69.14</v>
      </c>
      <c r="U39" s="43"/>
      <c r="V39" s="317">
        <f>M39+IF(P39-N39&lt;ROUND(Basisbedragen!$C$57*$W$1,2),P39-N39,ROUND(Basisbedragen!$C$57*$W$1,2))</f>
        <v>59.65</v>
      </c>
      <c r="W39" s="59">
        <f>N39+IF(P39-N39&lt;ROUND(Basisbedragen!$C$57*$W$1,2),P39-N39,ROUND(Basisbedragen!$C$57*$W$1,2))</f>
        <v>69.14</v>
      </c>
    </row>
    <row r="40" spans="1:23" ht="15.75" hidden="1" customHeight="1" outlineLevel="1" thickBot="1">
      <c r="A40" s="54">
        <f t="shared" si="6"/>
        <v>32</v>
      </c>
      <c r="C40" s="59">
        <f>IF(ROUND(ROUND(('Loonschijven_Tranches salariale'!$Q39*0.65),4)*$W$1,2)&lt;C$8,C$8,ROUND(ROUND(('Loonschijven_Tranches salariale'!$Q39*0.65),4)*$W$1,2))</f>
        <v>68.23</v>
      </c>
      <c r="D40" s="59">
        <f>IF(ROUND(ROUND(('Loonschijven_Tranches salariale'!$Q39*0.6),4)*$W$1,2)&lt;D$8,D$8,ROUND(ROUND(('Loonschijven_Tranches salariale'!$Q39*0.6),4)*$W$1,2))</f>
        <v>68.23</v>
      </c>
      <c r="E40" s="59">
        <f>IF(ROUND(ROUND(('Loonschijven_Tranches salariale'!$Q39*0.6),4)*$W$1,2)&lt;E$8,E$8,IF('Loonschijven_Tranches salariale'!$Q39&lt;Basisbedragen!$C$24,ROUND(ROUND(('Loonschijven_Tranches salariale'!$Q39*0.6),4)*$W$1,2),ROUND(ROUND((Basisbedragen!$C$24*0.6),4)*$W$1,2)))</f>
        <v>68.23</v>
      </c>
      <c r="F40" s="42"/>
      <c r="G40" s="59">
        <f>IF(ROUND(ROUND(('Loonschijven_Tranches salariale'!$Q39*0.6),4)*$W$1,2)&lt;G$8,G$8,IF('Loonschijven_Tranches salariale'!$Q39&lt;Basisbedragen!$C$23,ROUND(ROUND(('Loonschijven_Tranches salariale'!$Q39*0.6),4)*$W$1,2),ROUND(ROUND((Basisbedragen!$C$23*0.6),4)*$W$1,2)))</f>
        <v>68.23</v>
      </c>
      <c r="H40" s="59">
        <f t="shared" si="4"/>
        <v>68.23</v>
      </c>
      <c r="I40" s="59">
        <f t="shared" si="4"/>
        <v>68.23</v>
      </c>
      <c r="J40" s="59">
        <f t="shared" si="4"/>
        <v>68.23</v>
      </c>
      <c r="K40" s="59">
        <f t="shared" si="4"/>
        <v>68.23</v>
      </c>
      <c r="L40" s="42"/>
      <c r="M40" s="42">
        <f t="shared" si="7"/>
        <v>58.74</v>
      </c>
      <c r="N40" s="59">
        <f t="shared" si="8"/>
        <v>68.23</v>
      </c>
      <c r="O40" s="42"/>
      <c r="P40" s="59">
        <f>IF(ROUND(ROUND(('Loonschijven_Tranches salariale'!$Q39*0.6),4)*$W$1,2)+ROUND(Basisbedragen!$C$56*$W$1,2)&lt;$P$8,$P$8,IF('Loonschijven_Tranches salariale'!$Q39&lt;Basisbedragen!$C$23,ROUND(ROUND(('Loonschijven_Tranches salariale'!$Q39*0.6),4)*$W$1,2)+ROUND(Basisbedragen!$C$56*$W$1,2),ROUND(ROUND((Basisbedragen!$C$23*0.6),4)*$W$1,2)+ROUND(Basisbedragen!$C$56*$W$1,2)))</f>
        <v>69.14</v>
      </c>
      <c r="Q40" s="59">
        <f t="shared" si="5"/>
        <v>69.14</v>
      </c>
      <c r="R40" s="59">
        <f t="shared" si="5"/>
        <v>69.14</v>
      </c>
      <c r="S40" s="59">
        <f t="shared" si="5"/>
        <v>69.14</v>
      </c>
      <c r="T40" s="59">
        <f t="shared" si="5"/>
        <v>69.14</v>
      </c>
      <c r="U40" s="43"/>
      <c r="V40" s="317">
        <f>M40+IF(P40-N40&lt;ROUND(Basisbedragen!$C$57*$W$1,2),P40-N40,ROUND(Basisbedragen!$C$57*$W$1,2))</f>
        <v>59.65</v>
      </c>
      <c r="W40" s="59">
        <f>N40+IF(P40-N40&lt;ROUND(Basisbedragen!$C$57*$W$1,2),P40-N40,ROUND(Basisbedragen!$C$57*$W$1,2))</f>
        <v>69.14</v>
      </c>
    </row>
    <row r="41" spans="1:23" ht="15.75" hidden="1" customHeight="1" outlineLevel="1" thickBot="1">
      <c r="A41" s="54">
        <f t="shared" si="6"/>
        <v>33</v>
      </c>
      <c r="C41" s="59">
        <f>IF(ROUND(ROUND(('Loonschijven_Tranches salariale'!$Q40*0.65),4)*$W$1,2)&lt;C$8,C$8,ROUND(ROUND(('Loonschijven_Tranches salariale'!$Q40*0.65),4)*$W$1,2))</f>
        <v>68.23</v>
      </c>
      <c r="D41" s="59">
        <f>IF(ROUND(ROUND(('Loonschijven_Tranches salariale'!$Q40*0.6),4)*$W$1,2)&lt;D$8,D$8,ROUND(ROUND(('Loonschijven_Tranches salariale'!$Q40*0.6),4)*$W$1,2))</f>
        <v>68.23</v>
      </c>
      <c r="E41" s="59">
        <f>IF(ROUND(ROUND(('Loonschijven_Tranches salariale'!$Q40*0.6),4)*$W$1,2)&lt;E$8,E$8,IF('Loonschijven_Tranches salariale'!$Q40&lt;Basisbedragen!$C$24,ROUND(ROUND(('Loonschijven_Tranches salariale'!$Q40*0.6),4)*$W$1,2),ROUND(ROUND((Basisbedragen!$C$24*0.6),4)*$W$1,2)))</f>
        <v>68.23</v>
      </c>
      <c r="F41" s="42"/>
      <c r="G41" s="59">
        <f>IF(ROUND(ROUND(('Loonschijven_Tranches salariale'!$Q40*0.6),4)*$W$1,2)&lt;G$8,G$8,IF('Loonschijven_Tranches salariale'!$Q40&lt;Basisbedragen!$C$23,ROUND(ROUND(('Loonschijven_Tranches salariale'!$Q40*0.6),4)*$W$1,2),ROUND(ROUND((Basisbedragen!$C$23*0.6),4)*$W$1,2)))</f>
        <v>68.23</v>
      </c>
      <c r="H41" s="59">
        <f t="shared" si="4"/>
        <v>68.23</v>
      </c>
      <c r="I41" s="59">
        <f t="shared" si="4"/>
        <v>68.23</v>
      </c>
      <c r="J41" s="59">
        <f t="shared" si="4"/>
        <v>68.23</v>
      </c>
      <c r="K41" s="59">
        <f t="shared" si="4"/>
        <v>68.23</v>
      </c>
      <c r="L41" s="42"/>
      <c r="M41" s="42">
        <f t="shared" si="7"/>
        <v>58.74</v>
      </c>
      <c r="N41" s="59">
        <f t="shared" si="8"/>
        <v>68.23</v>
      </c>
      <c r="O41" s="42"/>
      <c r="P41" s="59">
        <f>IF(ROUND(ROUND(('Loonschijven_Tranches salariale'!$Q40*0.6),4)*$W$1,2)+ROUND(Basisbedragen!$C$56*$W$1,2)&lt;$P$8,$P$8,IF('Loonschijven_Tranches salariale'!$Q40&lt;Basisbedragen!$C$23,ROUND(ROUND(('Loonschijven_Tranches salariale'!$Q40*0.6),4)*$W$1,2)+ROUND(Basisbedragen!$C$56*$W$1,2),ROUND(ROUND((Basisbedragen!$C$23*0.6),4)*$W$1,2)+ROUND(Basisbedragen!$C$56*$W$1,2)))</f>
        <v>69.14</v>
      </c>
      <c r="Q41" s="59">
        <f t="shared" si="5"/>
        <v>69.14</v>
      </c>
      <c r="R41" s="59">
        <f t="shared" si="5"/>
        <v>69.14</v>
      </c>
      <c r="S41" s="59">
        <f t="shared" si="5"/>
        <v>69.14</v>
      </c>
      <c r="T41" s="59">
        <f t="shared" si="5"/>
        <v>69.14</v>
      </c>
      <c r="U41" s="43"/>
      <c r="V41" s="317">
        <f>M41+IF(P41-N41&lt;ROUND(Basisbedragen!$C$57*$W$1,2),P41-N41,ROUND(Basisbedragen!$C$57*$W$1,2))</f>
        <v>59.65</v>
      </c>
      <c r="W41" s="59">
        <f>N41+IF(P41-N41&lt;ROUND(Basisbedragen!$C$57*$W$1,2),P41-N41,ROUND(Basisbedragen!$C$57*$W$1,2))</f>
        <v>69.14</v>
      </c>
    </row>
    <row r="42" spans="1:23" ht="15.75" hidden="1" customHeight="1" outlineLevel="1" thickBot="1">
      <c r="A42" s="54">
        <f t="shared" si="6"/>
        <v>34</v>
      </c>
      <c r="C42" s="59">
        <f>IF(ROUND(ROUND(('Loonschijven_Tranches salariale'!$Q41*0.65),4)*$W$1,2)&lt;C$8,C$8,ROUND(ROUND(('Loonschijven_Tranches salariale'!$Q41*0.65),4)*$W$1,2))</f>
        <v>68.23</v>
      </c>
      <c r="D42" s="59">
        <f>IF(ROUND(ROUND(('Loonschijven_Tranches salariale'!$Q41*0.6),4)*$W$1,2)&lt;D$8,D$8,ROUND(ROUND(('Loonschijven_Tranches salariale'!$Q41*0.6),4)*$W$1,2))</f>
        <v>68.23</v>
      </c>
      <c r="E42" s="59">
        <f>IF(ROUND(ROUND(('Loonschijven_Tranches salariale'!$Q41*0.6),4)*$W$1,2)&lt;E$8,E$8,IF('Loonschijven_Tranches salariale'!$Q41&lt;Basisbedragen!$C$24,ROUND(ROUND(('Loonschijven_Tranches salariale'!$Q41*0.6),4)*$W$1,2),ROUND(ROUND((Basisbedragen!$C$24*0.6),4)*$W$1,2)))</f>
        <v>68.23</v>
      </c>
      <c r="F42" s="42"/>
      <c r="G42" s="59">
        <f>IF(ROUND(ROUND(('Loonschijven_Tranches salariale'!$Q41*0.6),4)*$W$1,2)&lt;G$8,G$8,IF('Loonschijven_Tranches salariale'!$Q41&lt;Basisbedragen!$C$23,ROUND(ROUND(('Loonschijven_Tranches salariale'!$Q41*0.6),4)*$W$1,2),ROUND(ROUND((Basisbedragen!$C$23*0.6),4)*$W$1,2)))</f>
        <v>68.23</v>
      </c>
      <c r="H42" s="59">
        <f t="shared" ref="H42:K87" si="9">IF(ROUND($G42-(H$6*($G42-$M$9)/5),2)&lt;H$8,H$8,ROUND($G42-(H$6*($G42-$M$9)/5),2))</f>
        <v>68.23</v>
      </c>
      <c r="I42" s="59">
        <f t="shared" si="9"/>
        <v>68.23</v>
      </c>
      <c r="J42" s="59">
        <f t="shared" si="9"/>
        <v>68.23</v>
      </c>
      <c r="K42" s="59">
        <f t="shared" si="9"/>
        <v>68.23</v>
      </c>
      <c r="L42" s="42"/>
      <c r="M42" s="42">
        <f t="shared" si="7"/>
        <v>58.74</v>
      </c>
      <c r="N42" s="59">
        <f t="shared" si="8"/>
        <v>68.23</v>
      </c>
      <c r="O42" s="42"/>
      <c r="P42" s="59">
        <f>IF(ROUND(ROUND(('Loonschijven_Tranches salariale'!$Q41*0.6),4)*$W$1,2)+ROUND(Basisbedragen!$C$56*$W$1,2)&lt;$P$8,$P$8,IF('Loonschijven_Tranches salariale'!$Q41&lt;Basisbedragen!$C$23,ROUND(ROUND(('Loonschijven_Tranches salariale'!$Q41*0.6),4)*$W$1,2)+ROUND(Basisbedragen!$C$56*$W$1,2),ROUND(ROUND((Basisbedragen!$C$23*0.6),4)*$W$1,2)+ROUND(Basisbedragen!$C$56*$W$1,2)))</f>
        <v>69.14</v>
      </c>
      <c r="Q42" s="59">
        <f t="shared" ref="Q42:T87" si="10">IF(ROUND($P42-(Q$6*($P42-$V42)/5),2)&lt;$W42,$W42,ROUND($P42-(Q$6*($P42-$V42)/5),2))</f>
        <v>69.14</v>
      </c>
      <c r="R42" s="59">
        <f t="shared" si="10"/>
        <v>69.14</v>
      </c>
      <c r="S42" s="59">
        <f t="shared" si="10"/>
        <v>69.14</v>
      </c>
      <c r="T42" s="59">
        <f t="shared" si="10"/>
        <v>69.14</v>
      </c>
      <c r="U42" s="43"/>
      <c r="V42" s="317">
        <f>M42+IF(P42-N42&lt;ROUND(Basisbedragen!$C$57*$W$1,2),P42-N42,ROUND(Basisbedragen!$C$57*$W$1,2))</f>
        <v>59.65</v>
      </c>
      <c r="W42" s="59">
        <f>N42+IF(P42-N42&lt;ROUND(Basisbedragen!$C$57*$W$1,2),P42-N42,ROUND(Basisbedragen!$C$57*$W$1,2))</f>
        <v>69.14</v>
      </c>
    </row>
    <row r="43" spans="1:23" ht="15.75" hidden="1" customHeight="1" outlineLevel="1" thickBot="1">
      <c r="A43" s="54">
        <f t="shared" si="6"/>
        <v>35</v>
      </c>
      <c r="C43" s="59">
        <f>IF(ROUND(ROUND(('Loonschijven_Tranches salariale'!$Q42*0.65),4)*$W$1,2)&lt;C$8,C$8,ROUND(ROUND(('Loonschijven_Tranches salariale'!$Q42*0.65),4)*$W$1,2))</f>
        <v>68.23</v>
      </c>
      <c r="D43" s="59">
        <f>IF(ROUND(ROUND(('Loonschijven_Tranches salariale'!$Q42*0.6),4)*$W$1,2)&lt;D$8,D$8,ROUND(ROUND(('Loonschijven_Tranches salariale'!$Q42*0.6),4)*$W$1,2))</f>
        <v>68.23</v>
      </c>
      <c r="E43" s="59">
        <f>IF(ROUND(ROUND(('Loonschijven_Tranches salariale'!$Q42*0.6),4)*$W$1,2)&lt;E$8,E$8,IF('Loonschijven_Tranches salariale'!$Q42&lt;Basisbedragen!$C$24,ROUND(ROUND(('Loonschijven_Tranches salariale'!$Q42*0.6),4)*$W$1,2),ROUND(ROUND((Basisbedragen!$C$24*0.6),4)*$W$1,2)))</f>
        <v>68.23</v>
      </c>
      <c r="F43" s="42"/>
      <c r="G43" s="59">
        <f>IF(ROUND(ROUND(('Loonschijven_Tranches salariale'!$Q42*0.6),4)*$W$1,2)&lt;G$8,G$8,IF('Loonschijven_Tranches salariale'!$Q42&lt;Basisbedragen!$C$23,ROUND(ROUND(('Loonschijven_Tranches salariale'!$Q42*0.6),4)*$W$1,2),ROUND(ROUND((Basisbedragen!$C$23*0.6),4)*$W$1,2)))</f>
        <v>68.23</v>
      </c>
      <c r="H43" s="59">
        <f t="shared" si="9"/>
        <v>68.23</v>
      </c>
      <c r="I43" s="59">
        <f t="shared" si="9"/>
        <v>68.23</v>
      </c>
      <c r="J43" s="59">
        <f t="shared" si="9"/>
        <v>68.23</v>
      </c>
      <c r="K43" s="59">
        <f t="shared" si="9"/>
        <v>68.23</v>
      </c>
      <c r="L43" s="42"/>
      <c r="M43" s="42">
        <f t="shared" si="7"/>
        <v>58.74</v>
      </c>
      <c r="N43" s="59">
        <f t="shared" si="8"/>
        <v>68.23</v>
      </c>
      <c r="O43" s="42"/>
      <c r="P43" s="59">
        <f>IF(ROUND(ROUND(('Loonschijven_Tranches salariale'!$Q42*0.6),4)*$W$1,2)+ROUND(Basisbedragen!$C$56*$W$1,2)&lt;$P$8,$P$8,IF('Loonschijven_Tranches salariale'!$Q42&lt;Basisbedragen!$C$23,ROUND(ROUND(('Loonschijven_Tranches salariale'!$Q42*0.6),4)*$W$1,2)+ROUND(Basisbedragen!$C$56*$W$1,2),ROUND(ROUND((Basisbedragen!$C$23*0.6),4)*$W$1,2)+ROUND(Basisbedragen!$C$56*$W$1,2)))</f>
        <v>69.14</v>
      </c>
      <c r="Q43" s="59">
        <f t="shared" si="10"/>
        <v>69.14</v>
      </c>
      <c r="R43" s="59">
        <f t="shared" si="10"/>
        <v>69.14</v>
      </c>
      <c r="S43" s="59">
        <f t="shared" si="10"/>
        <v>69.14</v>
      </c>
      <c r="T43" s="59">
        <f t="shared" si="10"/>
        <v>69.14</v>
      </c>
      <c r="U43" s="43"/>
      <c r="V43" s="317">
        <f>M43+IF(P43-N43&lt;ROUND(Basisbedragen!$C$57*$W$1,2),P43-N43,ROUND(Basisbedragen!$C$57*$W$1,2))</f>
        <v>59.65</v>
      </c>
      <c r="W43" s="59">
        <f>N43+IF(P43-N43&lt;ROUND(Basisbedragen!$C$57*$W$1,2),P43-N43,ROUND(Basisbedragen!$C$57*$W$1,2))</f>
        <v>69.14</v>
      </c>
    </row>
    <row r="44" spans="1:23" ht="15.75" hidden="1" customHeight="1" outlineLevel="1" thickBot="1">
      <c r="A44" s="54">
        <f t="shared" si="6"/>
        <v>36</v>
      </c>
      <c r="C44" s="59">
        <f>IF(ROUND(ROUND(('Loonschijven_Tranches salariale'!$Q43*0.65),4)*$W$1,2)&lt;C$8,C$8,ROUND(ROUND(('Loonschijven_Tranches salariale'!$Q43*0.65),4)*$W$1,2))</f>
        <v>68.23</v>
      </c>
      <c r="D44" s="59">
        <f>IF(ROUND(ROUND(('Loonschijven_Tranches salariale'!$Q43*0.6),4)*$W$1,2)&lt;D$8,D$8,ROUND(ROUND(('Loonschijven_Tranches salariale'!$Q43*0.6),4)*$W$1,2))</f>
        <v>68.23</v>
      </c>
      <c r="E44" s="59">
        <f>IF(ROUND(ROUND(('Loonschijven_Tranches salariale'!$Q43*0.6),4)*$W$1,2)&lt;E$8,E$8,IF('Loonschijven_Tranches salariale'!$Q43&lt;Basisbedragen!$C$24,ROUND(ROUND(('Loonschijven_Tranches salariale'!$Q43*0.6),4)*$W$1,2),ROUND(ROUND((Basisbedragen!$C$24*0.6),4)*$W$1,2)))</f>
        <v>68.23</v>
      </c>
      <c r="F44" s="42"/>
      <c r="G44" s="59">
        <f>IF(ROUND(ROUND(('Loonschijven_Tranches salariale'!$Q43*0.6),4)*$W$1,2)&lt;G$8,G$8,IF('Loonschijven_Tranches salariale'!$Q43&lt;Basisbedragen!$C$23,ROUND(ROUND(('Loonschijven_Tranches salariale'!$Q43*0.6),4)*$W$1,2),ROUND(ROUND((Basisbedragen!$C$23*0.6),4)*$W$1,2)))</f>
        <v>68.23</v>
      </c>
      <c r="H44" s="59">
        <f t="shared" si="9"/>
        <v>68.23</v>
      </c>
      <c r="I44" s="59">
        <f t="shared" si="9"/>
        <v>68.23</v>
      </c>
      <c r="J44" s="59">
        <f t="shared" si="9"/>
        <v>68.23</v>
      </c>
      <c r="K44" s="59">
        <f t="shared" si="9"/>
        <v>68.23</v>
      </c>
      <c r="L44" s="42"/>
      <c r="M44" s="42">
        <f t="shared" si="7"/>
        <v>58.74</v>
      </c>
      <c r="N44" s="59">
        <f t="shared" si="8"/>
        <v>68.23</v>
      </c>
      <c r="O44" s="42"/>
      <c r="P44" s="59">
        <f>IF(ROUND(ROUND(('Loonschijven_Tranches salariale'!$Q43*0.6),4)*$W$1,2)+ROUND(Basisbedragen!$C$56*$W$1,2)&lt;$P$8,$P$8,IF('Loonschijven_Tranches salariale'!$Q43&lt;Basisbedragen!$C$23,ROUND(ROUND(('Loonschijven_Tranches salariale'!$Q43*0.6),4)*$W$1,2)+ROUND(Basisbedragen!$C$56*$W$1,2),ROUND(ROUND((Basisbedragen!$C$23*0.6),4)*$W$1,2)+ROUND(Basisbedragen!$C$56*$W$1,2)))</f>
        <v>69.14</v>
      </c>
      <c r="Q44" s="59">
        <f t="shared" si="10"/>
        <v>69.14</v>
      </c>
      <c r="R44" s="59">
        <f t="shared" si="10"/>
        <v>69.14</v>
      </c>
      <c r="S44" s="59">
        <f t="shared" si="10"/>
        <v>69.14</v>
      </c>
      <c r="T44" s="59">
        <f t="shared" si="10"/>
        <v>69.14</v>
      </c>
      <c r="U44" s="43"/>
      <c r="V44" s="317">
        <f>M44+IF(P44-N44&lt;ROUND(Basisbedragen!$C$57*$W$1,2),P44-N44,ROUND(Basisbedragen!$C$57*$W$1,2))</f>
        <v>59.65</v>
      </c>
      <c r="W44" s="59">
        <f>N44+IF(P44-N44&lt;ROUND(Basisbedragen!$C$57*$W$1,2),P44-N44,ROUND(Basisbedragen!$C$57*$W$1,2))</f>
        <v>69.14</v>
      </c>
    </row>
    <row r="45" spans="1:23" ht="15.75" hidden="1" customHeight="1" outlineLevel="1" thickBot="1">
      <c r="A45" s="54">
        <f t="shared" si="6"/>
        <v>37</v>
      </c>
      <c r="C45" s="59">
        <f>IF(ROUND(ROUND(('Loonschijven_Tranches salariale'!$Q44*0.65),4)*$W$1,2)&lt;C$8,C$8,ROUND(ROUND(('Loonschijven_Tranches salariale'!$Q44*0.65),4)*$W$1,2))</f>
        <v>68.23</v>
      </c>
      <c r="D45" s="59">
        <f>IF(ROUND(ROUND(('Loonschijven_Tranches salariale'!$Q44*0.6),4)*$W$1,2)&lt;D$8,D$8,ROUND(ROUND(('Loonschijven_Tranches salariale'!$Q44*0.6),4)*$W$1,2))</f>
        <v>68.23</v>
      </c>
      <c r="E45" s="59">
        <f>IF(ROUND(ROUND(('Loonschijven_Tranches salariale'!$Q44*0.6),4)*$W$1,2)&lt;E$8,E$8,IF('Loonschijven_Tranches salariale'!$Q44&lt;Basisbedragen!$C$24,ROUND(ROUND(('Loonschijven_Tranches salariale'!$Q44*0.6),4)*$W$1,2),ROUND(ROUND((Basisbedragen!$C$24*0.6),4)*$W$1,2)))</f>
        <v>68.23</v>
      </c>
      <c r="F45" s="42"/>
      <c r="G45" s="59">
        <f>IF(ROUND(ROUND(('Loonschijven_Tranches salariale'!$Q44*0.6),4)*$W$1,2)&lt;G$8,G$8,IF('Loonschijven_Tranches salariale'!$Q44&lt;Basisbedragen!$C$23,ROUND(ROUND(('Loonschijven_Tranches salariale'!$Q44*0.6),4)*$W$1,2),ROUND(ROUND((Basisbedragen!$C$23*0.6),4)*$W$1,2)))</f>
        <v>68.23</v>
      </c>
      <c r="H45" s="59">
        <f t="shared" si="9"/>
        <v>68.23</v>
      </c>
      <c r="I45" s="59">
        <f t="shared" si="9"/>
        <v>68.23</v>
      </c>
      <c r="J45" s="59">
        <f t="shared" si="9"/>
        <v>68.23</v>
      </c>
      <c r="K45" s="59">
        <f t="shared" si="9"/>
        <v>68.23</v>
      </c>
      <c r="L45" s="42"/>
      <c r="M45" s="42">
        <f t="shared" si="7"/>
        <v>58.74</v>
      </c>
      <c r="N45" s="59">
        <f t="shared" si="8"/>
        <v>68.23</v>
      </c>
      <c r="O45" s="42"/>
      <c r="P45" s="59">
        <f>IF(ROUND(ROUND(('Loonschijven_Tranches salariale'!$Q44*0.6),4)*$W$1,2)+ROUND(Basisbedragen!$C$56*$W$1,2)&lt;$P$8,$P$8,IF('Loonschijven_Tranches salariale'!$Q44&lt;Basisbedragen!$C$23,ROUND(ROUND(('Loonschijven_Tranches salariale'!$Q44*0.6),4)*$W$1,2)+ROUND(Basisbedragen!$C$56*$W$1,2),ROUND(ROUND((Basisbedragen!$C$23*0.6),4)*$W$1,2)+ROUND(Basisbedragen!$C$56*$W$1,2)))</f>
        <v>69.14</v>
      </c>
      <c r="Q45" s="59">
        <f t="shared" si="10"/>
        <v>69.14</v>
      </c>
      <c r="R45" s="59">
        <f t="shared" si="10"/>
        <v>69.14</v>
      </c>
      <c r="S45" s="59">
        <f t="shared" si="10"/>
        <v>69.14</v>
      </c>
      <c r="T45" s="59">
        <f t="shared" si="10"/>
        <v>69.14</v>
      </c>
      <c r="U45" s="43"/>
      <c r="V45" s="317">
        <f>M45+IF(P45-N45&lt;ROUND(Basisbedragen!$C$57*$W$1,2),P45-N45,ROUND(Basisbedragen!$C$57*$W$1,2))</f>
        <v>59.65</v>
      </c>
      <c r="W45" s="59">
        <f>N45+IF(P45-N45&lt;ROUND(Basisbedragen!$C$57*$W$1,2),P45-N45,ROUND(Basisbedragen!$C$57*$W$1,2))</f>
        <v>69.14</v>
      </c>
    </row>
    <row r="46" spans="1:23" ht="15.75" hidden="1" customHeight="1" outlineLevel="1" thickBot="1">
      <c r="A46" s="54">
        <f t="shared" si="6"/>
        <v>38</v>
      </c>
      <c r="C46" s="59">
        <f>IF(ROUND(ROUND(('Loonschijven_Tranches salariale'!$Q45*0.65),4)*$W$1,2)&lt;C$8,C$8,ROUND(ROUND(('Loonschijven_Tranches salariale'!$Q45*0.65),4)*$W$1,2))</f>
        <v>68.23</v>
      </c>
      <c r="D46" s="59">
        <f>IF(ROUND(ROUND(('Loonschijven_Tranches salariale'!$Q45*0.6),4)*$W$1,2)&lt;D$8,D$8,ROUND(ROUND(('Loonschijven_Tranches salariale'!$Q45*0.6),4)*$W$1,2))</f>
        <v>68.23</v>
      </c>
      <c r="E46" s="59">
        <f>IF(ROUND(ROUND(('Loonschijven_Tranches salariale'!$Q45*0.6),4)*$W$1,2)&lt;E$8,E$8,IF('Loonschijven_Tranches salariale'!$Q45&lt;Basisbedragen!$C$24,ROUND(ROUND(('Loonschijven_Tranches salariale'!$Q45*0.6),4)*$W$1,2),ROUND(ROUND((Basisbedragen!$C$24*0.6),4)*$W$1,2)))</f>
        <v>68.23</v>
      </c>
      <c r="F46" s="42"/>
      <c r="G46" s="59">
        <f>IF(ROUND(ROUND(('Loonschijven_Tranches salariale'!$Q45*0.6),4)*$W$1,2)&lt;G$8,G$8,IF('Loonschijven_Tranches salariale'!$Q45&lt;Basisbedragen!$C$23,ROUND(ROUND(('Loonschijven_Tranches salariale'!$Q45*0.6),4)*$W$1,2),ROUND(ROUND((Basisbedragen!$C$23*0.6),4)*$W$1,2)))</f>
        <v>68.23</v>
      </c>
      <c r="H46" s="59">
        <f t="shared" si="9"/>
        <v>68.23</v>
      </c>
      <c r="I46" s="59">
        <f t="shared" si="9"/>
        <v>68.23</v>
      </c>
      <c r="J46" s="59">
        <f t="shared" si="9"/>
        <v>68.23</v>
      </c>
      <c r="K46" s="59">
        <f t="shared" si="9"/>
        <v>68.23</v>
      </c>
      <c r="L46" s="42"/>
      <c r="M46" s="42">
        <f t="shared" si="7"/>
        <v>58.74</v>
      </c>
      <c r="N46" s="59">
        <f t="shared" si="8"/>
        <v>68.23</v>
      </c>
      <c r="O46" s="42"/>
      <c r="P46" s="59">
        <f>IF(ROUND(ROUND(('Loonschijven_Tranches salariale'!$Q45*0.6),4)*$W$1,2)+ROUND(Basisbedragen!$C$56*$W$1,2)&lt;$P$8,$P$8,IF('Loonschijven_Tranches salariale'!$Q45&lt;Basisbedragen!$C$23,ROUND(ROUND(('Loonschijven_Tranches salariale'!$Q45*0.6),4)*$W$1,2)+ROUND(Basisbedragen!$C$56*$W$1,2),ROUND(ROUND((Basisbedragen!$C$23*0.6),4)*$W$1,2)+ROUND(Basisbedragen!$C$56*$W$1,2)))</f>
        <v>69.14</v>
      </c>
      <c r="Q46" s="59">
        <f t="shared" si="10"/>
        <v>69.14</v>
      </c>
      <c r="R46" s="59">
        <f t="shared" si="10"/>
        <v>69.14</v>
      </c>
      <c r="S46" s="59">
        <f t="shared" si="10"/>
        <v>69.14</v>
      </c>
      <c r="T46" s="59">
        <f t="shared" si="10"/>
        <v>69.14</v>
      </c>
      <c r="U46" s="43"/>
      <c r="V46" s="317">
        <f>M46+IF(P46-N46&lt;ROUND(Basisbedragen!$C$57*$W$1,2),P46-N46,ROUND(Basisbedragen!$C$57*$W$1,2))</f>
        <v>59.65</v>
      </c>
      <c r="W46" s="59">
        <f>N46+IF(P46-N46&lt;ROUND(Basisbedragen!$C$57*$W$1,2),P46-N46,ROUND(Basisbedragen!$C$57*$W$1,2))</f>
        <v>69.14</v>
      </c>
    </row>
    <row r="47" spans="1:23" ht="15.75" hidden="1" customHeight="1" outlineLevel="1" thickBot="1">
      <c r="A47" s="54">
        <f t="shared" si="6"/>
        <v>39</v>
      </c>
      <c r="C47" s="59">
        <f>IF(ROUND(ROUND(('Loonschijven_Tranches salariale'!$Q46*0.65),4)*$W$1,2)&lt;C$8,C$8,ROUND(ROUND(('Loonschijven_Tranches salariale'!$Q46*0.65),4)*$W$1,2))</f>
        <v>68.23</v>
      </c>
      <c r="D47" s="59">
        <f>IF(ROUND(ROUND(('Loonschijven_Tranches salariale'!$Q46*0.6),4)*$W$1,2)&lt;D$8,D$8,ROUND(ROUND(('Loonschijven_Tranches salariale'!$Q46*0.6),4)*$W$1,2))</f>
        <v>68.23</v>
      </c>
      <c r="E47" s="59">
        <f>IF(ROUND(ROUND(('Loonschijven_Tranches salariale'!$Q46*0.6),4)*$W$1,2)&lt;E$8,E$8,IF('Loonschijven_Tranches salariale'!$Q46&lt;Basisbedragen!$C$24,ROUND(ROUND(('Loonschijven_Tranches salariale'!$Q46*0.6),4)*$W$1,2),ROUND(ROUND((Basisbedragen!$C$24*0.6),4)*$W$1,2)))</f>
        <v>68.23</v>
      </c>
      <c r="F47" s="42"/>
      <c r="G47" s="59">
        <f>IF(ROUND(ROUND(('Loonschijven_Tranches salariale'!$Q46*0.6),4)*$W$1,2)&lt;G$8,G$8,IF('Loonschijven_Tranches salariale'!$Q46&lt;Basisbedragen!$C$23,ROUND(ROUND(('Loonschijven_Tranches salariale'!$Q46*0.6),4)*$W$1,2),ROUND(ROUND((Basisbedragen!$C$23*0.6),4)*$W$1,2)))</f>
        <v>68.23</v>
      </c>
      <c r="H47" s="59">
        <f t="shared" si="9"/>
        <v>68.23</v>
      </c>
      <c r="I47" s="59">
        <f t="shared" si="9"/>
        <v>68.23</v>
      </c>
      <c r="J47" s="59">
        <f t="shared" si="9"/>
        <v>68.23</v>
      </c>
      <c r="K47" s="59">
        <f t="shared" si="9"/>
        <v>68.23</v>
      </c>
      <c r="L47" s="42"/>
      <c r="M47" s="42">
        <f t="shared" si="7"/>
        <v>58.74</v>
      </c>
      <c r="N47" s="59">
        <f t="shared" si="8"/>
        <v>68.23</v>
      </c>
      <c r="O47" s="42"/>
      <c r="P47" s="59">
        <f>IF(ROUND(ROUND(('Loonschijven_Tranches salariale'!$Q46*0.6),4)*$W$1,2)+ROUND(Basisbedragen!$C$56*$W$1,2)&lt;$P$8,$P$8,IF('Loonschijven_Tranches salariale'!$Q46&lt;Basisbedragen!$C$23,ROUND(ROUND(('Loonschijven_Tranches salariale'!$Q46*0.6),4)*$W$1,2)+ROUND(Basisbedragen!$C$56*$W$1,2),ROUND(ROUND((Basisbedragen!$C$23*0.6),4)*$W$1,2)+ROUND(Basisbedragen!$C$56*$W$1,2)))</f>
        <v>69.14</v>
      </c>
      <c r="Q47" s="59">
        <f t="shared" si="10"/>
        <v>69.14</v>
      </c>
      <c r="R47" s="59">
        <f t="shared" si="10"/>
        <v>69.14</v>
      </c>
      <c r="S47" s="59">
        <f t="shared" si="10"/>
        <v>69.14</v>
      </c>
      <c r="T47" s="59">
        <f t="shared" si="10"/>
        <v>69.14</v>
      </c>
      <c r="U47" s="43"/>
      <c r="V47" s="317">
        <f>M47+IF(P47-N47&lt;ROUND(Basisbedragen!$C$57*$W$1,2),P47-N47,ROUND(Basisbedragen!$C$57*$W$1,2))</f>
        <v>59.65</v>
      </c>
      <c r="W47" s="59">
        <f>N47+IF(P47-N47&lt;ROUND(Basisbedragen!$C$57*$W$1,2),P47-N47,ROUND(Basisbedragen!$C$57*$W$1,2))</f>
        <v>69.14</v>
      </c>
    </row>
    <row r="48" spans="1:23" ht="15.75" hidden="1" customHeight="1" outlineLevel="1" thickBot="1">
      <c r="A48" s="54">
        <f t="shared" si="6"/>
        <v>40</v>
      </c>
      <c r="C48" s="59">
        <f>IF(ROUND(ROUND(('Loonschijven_Tranches salariale'!$Q47*0.65),4)*$W$1,2)&lt;C$8,C$8,ROUND(ROUND(('Loonschijven_Tranches salariale'!$Q47*0.65),4)*$W$1,2))</f>
        <v>68.23</v>
      </c>
      <c r="D48" s="59">
        <f>IF(ROUND(ROUND(('Loonschijven_Tranches salariale'!$Q47*0.6),4)*$W$1,2)&lt;D$8,D$8,ROUND(ROUND(('Loonschijven_Tranches salariale'!$Q47*0.6),4)*$W$1,2))</f>
        <v>68.23</v>
      </c>
      <c r="E48" s="59">
        <f>IF(ROUND(ROUND(('Loonschijven_Tranches salariale'!$Q47*0.6),4)*$W$1,2)&lt;E$8,E$8,IF('Loonschijven_Tranches salariale'!$Q47&lt;Basisbedragen!$C$24,ROUND(ROUND(('Loonschijven_Tranches salariale'!$Q47*0.6),4)*$W$1,2),ROUND(ROUND((Basisbedragen!$C$24*0.6),4)*$W$1,2)))</f>
        <v>68.23</v>
      </c>
      <c r="F48" s="42"/>
      <c r="G48" s="59">
        <f>IF(ROUND(ROUND(('Loonschijven_Tranches salariale'!$Q47*0.6),4)*$W$1,2)&lt;G$8,G$8,IF('Loonschijven_Tranches salariale'!$Q47&lt;Basisbedragen!$C$23,ROUND(ROUND(('Loonschijven_Tranches salariale'!$Q47*0.6),4)*$W$1,2),ROUND(ROUND((Basisbedragen!$C$23*0.6),4)*$W$1,2)))</f>
        <v>68.23</v>
      </c>
      <c r="H48" s="59">
        <f t="shared" si="9"/>
        <v>68.23</v>
      </c>
      <c r="I48" s="59">
        <f t="shared" si="9"/>
        <v>68.23</v>
      </c>
      <c r="J48" s="59">
        <f t="shared" si="9"/>
        <v>68.23</v>
      </c>
      <c r="K48" s="59">
        <f t="shared" si="9"/>
        <v>68.23</v>
      </c>
      <c r="L48" s="42"/>
      <c r="M48" s="42">
        <f t="shared" si="7"/>
        <v>58.74</v>
      </c>
      <c r="N48" s="59">
        <f t="shared" si="8"/>
        <v>68.23</v>
      </c>
      <c r="O48" s="42"/>
      <c r="P48" s="59">
        <f>IF(ROUND(ROUND(('Loonschijven_Tranches salariale'!$Q47*0.6),4)*$W$1,2)+ROUND(Basisbedragen!$C$56*$W$1,2)&lt;$P$8,$P$8,IF('Loonschijven_Tranches salariale'!$Q47&lt;Basisbedragen!$C$23,ROUND(ROUND(('Loonschijven_Tranches salariale'!$Q47*0.6),4)*$W$1,2)+ROUND(Basisbedragen!$C$56*$W$1,2),ROUND(ROUND((Basisbedragen!$C$23*0.6),4)*$W$1,2)+ROUND(Basisbedragen!$C$56*$W$1,2)))</f>
        <v>69.14</v>
      </c>
      <c r="Q48" s="59">
        <f t="shared" si="10"/>
        <v>69.14</v>
      </c>
      <c r="R48" s="59">
        <f t="shared" si="10"/>
        <v>69.14</v>
      </c>
      <c r="S48" s="59">
        <f t="shared" si="10"/>
        <v>69.14</v>
      </c>
      <c r="T48" s="59">
        <f t="shared" si="10"/>
        <v>69.14</v>
      </c>
      <c r="U48" s="43"/>
      <c r="V48" s="317">
        <f>M48+IF(P48-N48&lt;ROUND(Basisbedragen!$C$57*$W$1,2),P48-N48,ROUND(Basisbedragen!$C$57*$W$1,2))</f>
        <v>59.65</v>
      </c>
      <c r="W48" s="59">
        <f>N48+IF(P48-N48&lt;ROUND(Basisbedragen!$C$57*$W$1,2),P48-N48,ROUND(Basisbedragen!$C$57*$W$1,2))</f>
        <v>69.14</v>
      </c>
    </row>
    <row r="49" spans="1:23" ht="15.75" hidden="1" customHeight="1" outlineLevel="1" thickBot="1">
      <c r="A49" s="54">
        <f t="shared" si="6"/>
        <v>41</v>
      </c>
      <c r="C49" s="59">
        <f>IF(ROUND(ROUND(('Loonschijven_Tranches salariale'!$Q48*0.65),4)*$W$1,2)&lt;C$8,C$8,ROUND(ROUND(('Loonschijven_Tranches salariale'!$Q48*0.65),4)*$W$1,2))</f>
        <v>68.23</v>
      </c>
      <c r="D49" s="59">
        <f>IF(ROUND(ROUND(('Loonschijven_Tranches salariale'!$Q48*0.6),4)*$W$1,2)&lt;D$8,D$8,ROUND(ROUND(('Loonschijven_Tranches salariale'!$Q48*0.6),4)*$W$1,2))</f>
        <v>68.23</v>
      </c>
      <c r="E49" s="59">
        <f>IF(ROUND(ROUND(('Loonschijven_Tranches salariale'!$Q48*0.6),4)*$W$1,2)&lt;E$8,E$8,IF('Loonschijven_Tranches salariale'!$Q48&lt;Basisbedragen!$C$24,ROUND(ROUND(('Loonschijven_Tranches salariale'!$Q48*0.6),4)*$W$1,2),ROUND(ROUND((Basisbedragen!$C$24*0.6),4)*$W$1,2)))</f>
        <v>68.23</v>
      </c>
      <c r="F49" s="42"/>
      <c r="G49" s="59">
        <f>IF(ROUND(ROUND(('Loonschijven_Tranches salariale'!$Q48*0.6),4)*$W$1,2)&lt;G$8,G$8,IF('Loonschijven_Tranches salariale'!$Q48&lt;Basisbedragen!$C$23,ROUND(ROUND(('Loonschijven_Tranches salariale'!$Q48*0.6),4)*$W$1,2),ROUND(ROUND((Basisbedragen!$C$23*0.6),4)*$W$1,2)))</f>
        <v>68.23</v>
      </c>
      <c r="H49" s="59">
        <f t="shared" si="9"/>
        <v>68.23</v>
      </c>
      <c r="I49" s="59">
        <f t="shared" si="9"/>
        <v>68.23</v>
      </c>
      <c r="J49" s="59">
        <f t="shared" si="9"/>
        <v>68.23</v>
      </c>
      <c r="K49" s="59">
        <f t="shared" si="9"/>
        <v>68.23</v>
      </c>
      <c r="L49" s="42"/>
      <c r="M49" s="42">
        <f t="shared" si="7"/>
        <v>58.74</v>
      </c>
      <c r="N49" s="59">
        <f t="shared" si="8"/>
        <v>68.23</v>
      </c>
      <c r="O49" s="42"/>
      <c r="P49" s="59">
        <f>IF(ROUND(ROUND(('Loonschijven_Tranches salariale'!$Q48*0.6),4)*$W$1,2)+ROUND(Basisbedragen!$C$56*$W$1,2)&lt;$P$8,$P$8,IF('Loonschijven_Tranches salariale'!$Q48&lt;Basisbedragen!$C$23,ROUND(ROUND(('Loonschijven_Tranches salariale'!$Q48*0.6),4)*$W$1,2)+ROUND(Basisbedragen!$C$56*$W$1,2),ROUND(ROUND((Basisbedragen!$C$23*0.6),4)*$W$1,2)+ROUND(Basisbedragen!$C$56*$W$1,2)))</f>
        <v>69.14</v>
      </c>
      <c r="Q49" s="59">
        <f t="shared" si="10"/>
        <v>69.14</v>
      </c>
      <c r="R49" s="59">
        <f t="shared" si="10"/>
        <v>69.14</v>
      </c>
      <c r="S49" s="59">
        <f t="shared" si="10"/>
        <v>69.14</v>
      </c>
      <c r="T49" s="59">
        <f t="shared" si="10"/>
        <v>69.14</v>
      </c>
      <c r="U49" s="43"/>
      <c r="V49" s="317">
        <f>M49+IF(P49-N49&lt;ROUND(Basisbedragen!$C$57*$W$1,2),P49-N49,ROUND(Basisbedragen!$C$57*$W$1,2))</f>
        <v>59.65</v>
      </c>
      <c r="W49" s="59">
        <f>N49+IF(P49-N49&lt;ROUND(Basisbedragen!$C$57*$W$1,2),P49-N49,ROUND(Basisbedragen!$C$57*$W$1,2))</f>
        <v>69.14</v>
      </c>
    </row>
    <row r="50" spans="1:23" ht="15.75" hidden="1" customHeight="1" outlineLevel="1" thickBot="1">
      <c r="A50" s="54">
        <f t="shared" si="6"/>
        <v>42</v>
      </c>
      <c r="C50" s="59">
        <f>IF(ROUND(ROUND(('Loonschijven_Tranches salariale'!$Q49*0.65),4)*$W$1,2)&lt;C$8,C$8,ROUND(ROUND(('Loonschijven_Tranches salariale'!$Q49*0.65),4)*$W$1,2))</f>
        <v>68.23</v>
      </c>
      <c r="D50" s="59">
        <f>IF(ROUND(ROUND(('Loonschijven_Tranches salariale'!$Q49*0.6),4)*$W$1,2)&lt;D$8,D$8,ROUND(ROUND(('Loonschijven_Tranches salariale'!$Q49*0.6),4)*$W$1,2))</f>
        <v>68.23</v>
      </c>
      <c r="E50" s="59">
        <f>IF(ROUND(ROUND(('Loonschijven_Tranches salariale'!$Q49*0.6),4)*$W$1,2)&lt;E$8,E$8,IF('Loonschijven_Tranches salariale'!$Q49&lt;Basisbedragen!$C$24,ROUND(ROUND(('Loonschijven_Tranches salariale'!$Q49*0.6),4)*$W$1,2),ROUND(ROUND((Basisbedragen!$C$24*0.6),4)*$W$1,2)))</f>
        <v>68.23</v>
      </c>
      <c r="F50" s="42"/>
      <c r="G50" s="59">
        <f>IF(ROUND(ROUND(('Loonschijven_Tranches salariale'!$Q49*0.6),4)*$W$1,2)&lt;G$8,G$8,IF('Loonschijven_Tranches salariale'!$Q49&lt;Basisbedragen!$C$23,ROUND(ROUND(('Loonschijven_Tranches salariale'!$Q49*0.6),4)*$W$1,2),ROUND(ROUND((Basisbedragen!$C$23*0.6),4)*$W$1,2)))</f>
        <v>68.23</v>
      </c>
      <c r="H50" s="59">
        <f t="shared" si="9"/>
        <v>68.23</v>
      </c>
      <c r="I50" s="59">
        <f t="shared" si="9"/>
        <v>68.23</v>
      </c>
      <c r="J50" s="59">
        <f t="shared" si="9"/>
        <v>68.23</v>
      </c>
      <c r="K50" s="59">
        <f t="shared" si="9"/>
        <v>68.23</v>
      </c>
      <c r="L50" s="42"/>
      <c r="M50" s="42">
        <f t="shared" si="7"/>
        <v>58.74</v>
      </c>
      <c r="N50" s="59">
        <f t="shared" si="8"/>
        <v>68.23</v>
      </c>
      <c r="O50" s="42"/>
      <c r="P50" s="59">
        <f>IF(ROUND(ROUND(('Loonschijven_Tranches salariale'!$Q49*0.6),4)*$W$1,2)+ROUND(Basisbedragen!$C$56*$W$1,2)&lt;$P$8,$P$8,IF('Loonschijven_Tranches salariale'!$Q49&lt;Basisbedragen!$C$23,ROUND(ROUND(('Loonschijven_Tranches salariale'!$Q49*0.6),4)*$W$1,2)+ROUND(Basisbedragen!$C$56*$W$1,2),ROUND(ROUND((Basisbedragen!$C$23*0.6),4)*$W$1,2)+ROUND(Basisbedragen!$C$56*$W$1,2)))</f>
        <v>69.14</v>
      </c>
      <c r="Q50" s="59">
        <f t="shared" si="10"/>
        <v>69.14</v>
      </c>
      <c r="R50" s="59">
        <f t="shared" si="10"/>
        <v>69.14</v>
      </c>
      <c r="S50" s="59">
        <f t="shared" si="10"/>
        <v>69.14</v>
      </c>
      <c r="T50" s="59">
        <f t="shared" si="10"/>
        <v>69.14</v>
      </c>
      <c r="U50" s="43"/>
      <c r="V50" s="317">
        <f>M50+IF(P50-N50&lt;ROUND(Basisbedragen!$C$57*$W$1,2),P50-N50,ROUND(Basisbedragen!$C$57*$W$1,2))</f>
        <v>59.65</v>
      </c>
      <c r="W50" s="59">
        <f>N50+IF(P50-N50&lt;ROUND(Basisbedragen!$C$57*$W$1,2),P50-N50,ROUND(Basisbedragen!$C$57*$W$1,2))</f>
        <v>69.14</v>
      </c>
    </row>
    <row r="51" spans="1:23" ht="15.75" hidden="1" customHeight="1" outlineLevel="1" thickBot="1">
      <c r="A51" s="54">
        <f t="shared" si="6"/>
        <v>43</v>
      </c>
      <c r="C51" s="59">
        <f>IF(ROUND(ROUND(('Loonschijven_Tranches salariale'!$Q50*0.65),4)*$W$1,2)&lt;C$8,C$8,ROUND(ROUND(('Loonschijven_Tranches salariale'!$Q50*0.65),4)*$W$1,2))</f>
        <v>68.23</v>
      </c>
      <c r="D51" s="59">
        <f>IF(ROUND(ROUND(('Loonschijven_Tranches salariale'!$Q50*0.6),4)*$W$1,2)&lt;D$8,D$8,ROUND(ROUND(('Loonschijven_Tranches salariale'!$Q50*0.6),4)*$W$1,2))</f>
        <v>68.23</v>
      </c>
      <c r="E51" s="59">
        <f>IF(ROUND(ROUND(('Loonschijven_Tranches salariale'!$Q50*0.6),4)*$W$1,2)&lt;E$8,E$8,IF('Loonschijven_Tranches salariale'!$Q50&lt;Basisbedragen!$C$24,ROUND(ROUND(('Loonschijven_Tranches salariale'!$Q50*0.6),4)*$W$1,2),ROUND(ROUND((Basisbedragen!$C$24*0.6),4)*$W$1,2)))</f>
        <v>68.23</v>
      </c>
      <c r="F51" s="42"/>
      <c r="G51" s="59">
        <f>IF(ROUND(ROUND(('Loonschijven_Tranches salariale'!$Q50*0.6),4)*$W$1,2)&lt;G$8,G$8,IF('Loonschijven_Tranches salariale'!$Q50&lt;Basisbedragen!$C$23,ROUND(ROUND(('Loonschijven_Tranches salariale'!$Q50*0.6),4)*$W$1,2),ROUND(ROUND((Basisbedragen!$C$23*0.6),4)*$W$1,2)))</f>
        <v>68.23</v>
      </c>
      <c r="H51" s="59">
        <f t="shared" si="9"/>
        <v>68.23</v>
      </c>
      <c r="I51" s="59">
        <f t="shared" si="9"/>
        <v>68.23</v>
      </c>
      <c r="J51" s="59">
        <f t="shared" si="9"/>
        <v>68.23</v>
      </c>
      <c r="K51" s="59">
        <f t="shared" si="9"/>
        <v>68.23</v>
      </c>
      <c r="L51" s="42"/>
      <c r="M51" s="42">
        <f t="shared" si="7"/>
        <v>58.74</v>
      </c>
      <c r="N51" s="59">
        <f t="shared" si="8"/>
        <v>68.23</v>
      </c>
      <c r="O51" s="42"/>
      <c r="P51" s="59">
        <f>IF(ROUND(ROUND(('Loonschijven_Tranches salariale'!$Q50*0.6),4)*$W$1,2)+ROUND(Basisbedragen!$C$56*$W$1,2)&lt;$P$8,$P$8,IF('Loonschijven_Tranches salariale'!$Q50&lt;Basisbedragen!$C$23,ROUND(ROUND(('Loonschijven_Tranches salariale'!$Q50*0.6),4)*$W$1,2)+ROUND(Basisbedragen!$C$56*$W$1,2),ROUND(ROUND((Basisbedragen!$C$23*0.6),4)*$W$1,2)+ROUND(Basisbedragen!$C$56*$W$1,2)))</f>
        <v>69.14</v>
      </c>
      <c r="Q51" s="59">
        <f t="shared" si="10"/>
        <v>69.14</v>
      </c>
      <c r="R51" s="59">
        <f t="shared" si="10"/>
        <v>69.14</v>
      </c>
      <c r="S51" s="59">
        <f t="shared" si="10"/>
        <v>69.14</v>
      </c>
      <c r="T51" s="59">
        <f t="shared" si="10"/>
        <v>69.14</v>
      </c>
      <c r="U51" s="43"/>
      <c r="V51" s="317">
        <f>M51+IF(P51-N51&lt;ROUND(Basisbedragen!$C$57*$W$1,2),P51-N51,ROUND(Basisbedragen!$C$57*$W$1,2))</f>
        <v>59.65</v>
      </c>
      <c r="W51" s="59">
        <f>N51+IF(P51-N51&lt;ROUND(Basisbedragen!$C$57*$W$1,2),P51-N51,ROUND(Basisbedragen!$C$57*$W$1,2))</f>
        <v>69.14</v>
      </c>
    </row>
    <row r="52" spans="1:23" ht="15.75" hidden="1" customHeight="1" outlineLevel="1" thickBot="1">
      <c r="A52" s="54">
        <f t="shared" si="6"/>
        <v>44</v>
      </c>
      <c r="C52" s="59">
        <f>IF(ROUND(ROUND(('Loonschijven_Tranches salariale'!$Q51*0.65),4)*$W$1,2)&lt;C$8,C$8,ROUND(ROUND(('Loonschijven_Tranches salariale'!$Q51*0.65),4)*$W$1,2))</f>
        <v>68.23</v>
      </c>
      <c r="D52" s="59">
        <f>IF(ROUND(ROUND(('Loonschijven_Tranches salariale'!$Q51*0.6),4)*$W$1,2)&lt;D$8,D$8,ROUND(ROUND(('Loonschijven_Tranches salariale'!$Q51*0.6),4)*$W$1,2))</f>
        <v>68.23</v>
      </c>
      <c r="E52" s="59">
        <f>IF(ROUND(ROUND(('Loonschijven_Tranches salariale'!$Q51*0.6),4)*$W$1,2)&lt;E$8,E$8,IF('Loonschijven_Tranches salariale'!$Q51&lt;Basisbedragen!$C$24,ROUND(ROUND(('Loonschijven_Tranches salariale'!$Q51*0.6),4)*$W$1,2),ROUND(ROUND((Basisbedragen!$C$24*0.6),4)*$W$1,2)))</f>
        <v>68.23</v>
      </c>
      <c r="F52" s="42"/>
      <c r="G52" s="59">
        <f>IF(ROUND(ROUND(('Loonschijven_Tranches salariale'!$Q51*0.6),4)*$W$1,2)&lt;G$8,G$8,IF('Loonschijven_Tranches salariale'!$Q51&lt;Basisbedragen!$C$23,ROUND(ROUND(('Loonschijven_Tranches salariale'!$Q51*0.6),4)*$W$1,2),ROUND(ROUND((Basisbedragen!$C$23*0.6),4)*$W$1,2)))</f>
        <v>68.23</v>
      </c>
      <c r="H52" s="59">
        <f t="shared" si="9"/>
        <v>68.23</v>
      </c>
      <c r="I52" s="59">
        <f t="shared" si="9"/>
        <v>68.23</v>
      </c>
      <c r="J52" s="59">
        <f t="shared" si="9"/>
        <v>68.23</v>
      </c>
      <c r="K52" s="59">
        <f t="shared" si="9"/>
        <v>68.23</v>
      </c>
      <c r="L52" s="42"/>
      <c r="M52" s="42">
        <f t="shared" si="7"/>
        <v>58.74</v>
      </c>
      <c r="N52" s="59">
        <f t="shared" si="8"/>
        <v>68.23</v>
      </c>
      <c r="O52" s="42"/>
      <c r="P52" s="59">
        <f>IF(ROUND(ROUND(('Loonschijven_Tranches salariale'!$Q51*0.6),4)*$W$1,2)+ROUND(Basisbedragen!$C$56*$W$1,2)&lt;$P$8,$P$8,IF('Loonschijven_Tranches salariale'!$Q51&lt;Basisbedragen!$C$23,ROUND(ROUND(('Loonschijven_Tranches salariale'!$Q51*0.6),4)*$W$1,2)+ROUND(Basisbedragen!$C$56*$W$1,2),ROUND(ROUND((Basisbedragen!$C$23*0.6),4)*$W$1,2)+ROUND(Basisbedragen!$C$56*$W$1,2)))</f>
        <v>69.14</v>
      </c>
      <c r="Q52" s="59">
        <f t="shared" si="10"/>
        <v>69.14</v>
      </c>
      <c r="R52" s="59">
        <f t="shared" si="10"/>
        <v>69.14</v>
      </c>
      <c r="S52" s="59">
        <f t="shared" si="10"/>
        <v>69.14</v>
      </c>
      <c r="T52" s="59">
        <f t="shared" si="10"/>
        <v>69.14</v>
      </c>
      <c r="U52" s="43"/>
      <c r="V52" s="317">
        <f>M52+IF(P52-N52&lt;ROUND(Basisbedragen!$C$57*$W$1,2),P52-N52,ROUND(Basisbedragen!$C$57*$W$1,2))</f>
        <v>59.65</v>
      </c>
      <c r="W52" s="59">
        <f>N52+IF(P52-N52&lt;ROUND(Basisbedragen!$C$57*$W$1,2),P52-N52,ROUND(Basisbedragen!$C$57*$W$1,2))</f>
        <v>69.14</v>
      </c>
    </row>
    <row r="53" spans="1:23" ht="15.75" hidden="1" customHeight="1" outlineLevel="1" thickBot="1">
      <c r="A53" s="54">
        <f t="shared" si="6"/>
        <v>45</v>
      </c>
      <c r="C53" s="59">
        <f>IF(ROUND(ROUND(('Loonschijven_Tranches salariale'!$Q52*0.65),4)*$W$1,2)&lt;C$8,C$8,ROUND(ROUND(('Loonschijven_Tranches salariale'!$Q52*0.65),4)*$W$1,2))</f>
        <v>68.23</v>
      </c>
      <c r="D53" s="59">
        <f>IF(ROUND(ROUND(('Loonschijven_Tranches salariale'!$Q52*0.6),4)*$W$1,2)&lt;D$8,D$8,ROUND(ROUND(('Loonschijven_Tranches salariale'!$Q52*0.6),4)*$W$1,2))</f>
        <v>68.23</v>
      </c>
      <c r="E53" s="59">
        <f>IF(ROUND(ROUND(('Loonschijven_Tranches salariale'!$Q52*0.6),4)*$W$1,2)&lt;E$8,E$8,IF('Loonschijven_Tranches salariale'!$Q52&lt;Basisbedragen!$C$24,ROUND(ROUND(('Loonschijven_Tranches salariale'!$Q52*0.6),4)*$W$1,2),ROUND(ROUND((Basisbedragen!$C$24*0.6),4)*$W$1,2)))</f>
        <v>68.23</v>
      </c>
      <c r="F53" s="42"/>
      <c r="G53" s="59">
        <f>IF(ROUND(ROUND(('Loonschijven_Tranches salariale'!$Q52*0.6),4)*$W$1,2)&lt;G$8,G$8,IF('Loonschijven_Tranches salariale'!$Q52&lt;Basisbedragen!$C$23,ROUND(ROUND(('Loonschijven_Tranches salariale'!$Q52*0.6),4)*$W$1,2),ROUND(ROUND((Basisbedragen!$C$23*0.6),4)*$W$1,2)))</f>
        <v>68.23</v>
      </c>
      <c r="H53" s="59">
        <f t="shared" si="9"/>
        <v>68.23</v>
      </c>
      <c r="I53" s="59">
        <f t="shared" si="9"/>
        <v>68.23</v>
      </c>
      <c r="J53" s="59">
        <f t="shared" si="9"/>
        <v>68.23</v>
      </c>
      <c r="K53" s="59">
        <f t="shared" si="9"/>
        <v>68.23</v>
      </c>
      <c r="L53" s="42"/>
      <c r="M53" s="42">
        <f t="shared" si="7"/>
        <v>58.74</v>
      </c>
      <c r="N53" s="59">
        <f t="shared" si="8"/>
        <v>68.23</v>
      </c>
      <c r="O53" s="42"/>
      <c r="P53" s="59">
        <f>IF(ROUND(ROUND(('Loonschijven_Tranches salariale'!$Q52*0.6),4)*$W$1,2)+ROUND(Basisbedragen!$C$56*$W$1,2)&lt;$P$8,$P$8,IF('Loonschijven_Tranches salariale'!$Q52&lt;Basisbedragen!$C$23,ROUND(ROUND(('Loonschijven_Tranches salariale'!$Q52*0.6),4)*$W$1,2)+ROUND(Basisbedragen!$C$56*$W$1,2),ROUND(ROUND((Basisbedragen!$C$23*0.6),4)*$W$1,2)+ROUND(Basisbedragen!$C$56*$W$1,2)))</f>
        <v>69.14</v>
      </c>
      <c r="Q53" s="59">
        <f t="shared" si="10"/>
        <v>69.14</v>
      </c>
      <c r="R53" s="59">
        <f t="shared" si="10"/>
        <v>69.14</v>
      </c>
      <c r="S53" s="59">
        <f t="shared" si="10"/>
        <v>69.14</v>
      </c>
      <c r="T53" s="59">
        <f t="shared" si="10"/>
        <v>69.14</v>
      </c>
      <c r="U53" s="43"/>
      <c r="V53" s="317">
        <f>M53+IF(P53-N53&lt;ROUND(Basisbedragen!$C$57*$W$1,2),P53-N53,ROUND(Basisbedragen!$C$57*$W$1,2))</f>
        <v>59.65</v>
      </c>
      <c r="W53" s="59">
        <f>N53+IF(P53-N53&lt;ROUND(Basisbedragen!$C$57*$W$1,2),P53-N53,ROUND(Basisbedragen!$C$57*$W$1,2))</f>
        <v>69.14</v>
      </c>
    </row>
    <row r="54" spans="1:23" ht="15" hidden="1" outlineLevel="1" thickBot="1">
      <c r="A54" s="54">
        <f t="shared" si="6"/>
        <v>46</v>
      </c>
      <c r="C54" s="59">
        <f>IF(ROUND(ROUND(('Loonschijven_Tranches salariale'!$Q53*0.65),4)*$W$1,2)&lt;C$8,C$8,ROUND(ROUND(('Loonschijven_Tranches salariale'!$Q53*0.65),4)*$W$1,2))</f>
        <v>68.23</v>
      </c>
      <c r="D54" s="59">
        <f>IF(ROUND(ROUND(('Loonschijven_Tranches salariale'!$Q53*0.6),4)*$W$1,2)&lt;D$8,D$8,ROUND(ROUND(('Loonschijven_Tranches salariale'!$Q53*0.6),4)*$W$1,2))</f>
        <v>68.23</v>
      </c>
      <c r="E54" s="59">
        <f>IF(ROUND(ROUND(('Loonschijven_Tranches salariale'!$Q53*0.6),4)*$W$1,2)&lt;E$8,E$8,IF('Loonschijven_Tranches salariale'!$Q53&lt;Basisbedragen!$C$24,ROUND(ROUND(('Loonschijven_Tranches salariale'!$Q53*0.6),4)*$W$1,2),ROUND(ROUND((Basisbedragen!$C$24*0.6),4)*$W$1,2)))</f>
        <v>68.23</v>
      </c>
      <c r="F54" s="42"/>
      <c r="G54" s="59">
        <f>IF(ROUND(ROUND(('Loonschijven_Tranches salariale'!$Q53*0.6),4)*$W$1,2)&lt;G$8,G$8,IF('Loonschijven_Tranches salariale'!$Q53&lt;Basisbedragen!$C$23,ROUND(ROUND(('Loonschijven_Tranches salariale'!$Q53*0.6),4)*$W$1,2),ROUND(ROUND((Basisbedragen!$C$23*0.6),4)*$W$1,2)))</f>
        <v>68.23</v>
      </c>
      <c r="H54" s="59">
        <f t="shared" si="9"/>
        <v>68.23</v>
      </c>
      <c r="I54" s="59">
        <f t="shared" si="9"/>
        <v>68.23</v>
      </c>
      <c r="J54" s="59">
        <f t="shared" si="9"/>
        <v>68.23</v>
      </c>
      <c r="K54" s="59">
        <f t="shared" si="9"/>
        <v>68.23</v>
      </c>
      <c r="L54" s="42"/>
      <c r="M54" s="42">
        <f t="shared" si="7"/>
        <v>58.74</v>
      </c>
      <c r="N54" s="59">
        <f t="shared" si="8"/>
        <v>68.23</v>
      </c>
      <c r="O54" s="42"/>
      <c r="P54" s="59">
        <f>IF(ROUND(ROUND(('Loonschijven_Tranches salariale'!$Q53*0.6),4)*$W$1,2)+ROUND(Basisbedragen!$C$56*$W$1,2)&lt;$P$8,$P$8,IF('Loonschijven_Tranches salariale'!$Q53&lt;Basisbedragen!$C$23,ROUND(ROUND(('Loonschijven_Tranches salariale'!$Q53*0.6),4)*$W$1,2)+ROUND(Basisbedragen!$C$56*$W$1,2),ROUND(ROUND((Basisbedragen!$C$23*0.6),4)*$W$1,2)+ROUND(Basisbedragen!$C$56*$W$1,2)))</f>
        <v>69.14</v>
      </c>
      <c r="Q54" s="59">
        <f t="shared" si="10"/>
        <v>69.14</v>
      </c>
      <c r="R54" s="59">
        <f t="shared" si="10"/>
        <v>69.14</v>
      </c>
      <c r="S54" s="59">
        <f t="shared" si="10"/>
        <v>69.14</v>
      </c>
      <c r="T54" s="59">
        <f t="shared" si="10"/>
        <v>69.14</v>
      </c>
      <c r="U54" s="43"/>
      <c r="V54" s="317">
        <f>M54+IF(P54-N54&lt;ROUND(Basisbedragen!$C$57*$W$1,2),P54-N54,ROUND(Basisbedragen!$C$57*$W$1,2))</f>
        <v>59.65</v>
      </c>
      <c r="W54" s="59">
        <f>N54+IF(P54-N54&lt;ROUND(Basisbedragen!$C$57*$W$1,2),P54-N54,ROUND(Basisbedragen!$C$57*$W$1,2))</f>
        <v>69.14</v>
      </c>
    </row>
    <row r="55" spans="1:23" ht="15" hidden="1" outlineLevel="1" thickBot="1">
      <c r="A55" s="54">
        <f t="shared" si="6"/>
        <v>47</v>
      </c>
      <c r="C55" s="59">
        <f>IF(ROUND(ROUND(('Loonschijven_Tranches salariale'!$Q54*0.65),4)*$W$1,2)&lt;C$8,C$8,ROUND(ROUND(('Loonschijven_Tranches salariale'!$Q54*0.65),4)*$W$1,2))</f>
        <v>68.23</v>
      </c>
      <c r="D55" s="59">
        <f>IF(ROUND(ROUND(('Loonschijven_Tranches salariale'!$Q54*0.6),4)*$W$1,2)&lt;D$8,D$8,ROUND(ROUND(('Loonschijven_Tranches salariale'!$Q54*0.6),4)*$W$1,2))</f>
        <v>68.23</v>
      </c>
      <c r="E55" s="59">
        <f>IF(ROUND(ROUND(('Loonschijven_Tranches salariale'!$Q54*0.6),4)*$W$1,2)&lt;E$8,E$8,IF('Loonschijven_Tranches salariale'!$Q54&lt;Basisbedragen!$C$24,ROUND(ROUND(('Loonschijven_Tranches salariale'!$Q54*0.6),4)*$W$1,2),ROUND(ROUND((Basisbedragen!$C$24*0.6),4)*$W$1,2)))</f>
        <v>68.23</v>
      </c>
      <c r="F55" s="42"/>
      <c r="G55" s="59">
        <f>IF(ROUND(ROUND(('Loonschijven_Tranches salariale'!$Q54*0.6),4)*$W$1,2)&lt;G$8,G$8,IF('Loonschijven_Tranches salariale'!$Q54&lt;Basisbedragen!$C$23,ROUND(ROUND(('Loonschijven_Tranches salariale'!$Q54*0.6),4)*$W$1,2),ROUND(ROUND((Basisbedragen!$C$23*0.6),4)*$W$1,2)))</f>
        <v>68.23</v>
      </c>
      <c r="H55" s="59">
        <f t="shared" si="9"/>
        <v>68.23</v>
      </c>
      <c r="I55" s="59">
        <f t="shared" si="9"/>
        <v>68.23</v>
      </c>
      <c r="J55" s="59">
        <f t="shared" si="9"/>
        <v>68.23</v>
      </c>
      <c r="K55" s="59">
        <f t="shared" si="9"/>
        <v>68.23</v>
      </c>
      <c r="L55" s="42"/>
      <c r="M55" s="42">
        <f t="shared" si="7"/>
        <v>58.74</v>
      </c>
      <c r="N55" s="59">
        <f t="shared" si="8"/>
        <v>68.23</v>
      </c>
      <c r="O55" s="42"/>
      <c r="P55" s="59">
        <f>IF(ROUND(ROUND(('Loonschijven_Tranches salariale'!$Q54*0.6),4)*$W$1,2)+ROUND(Basisbedragen!$C$56*$W$1,2)&lt;$P$8,$P$8,IF('Loonschijven_Tranches salariale'!$Q54&lt;Basisbedragen!$C$23,ROUND(ROUND(('Loonschijven_Tranches salariale'!$Q54*0.6),4)*$W$1,2)+ROUND(Basisbedragen!$C$56*$W$1,2),ROUND(ROUND((Basisbedragen!$C$23*0.6),4)*$W$1,2)+ROUND(Basisbedragen!$C$56*$W$1,2)))</f>
        <v>69.14</v>
      </c>
      <c r="Q55" s="59">
        <f t="shared" si="10"/>
        <v>69.14</v>
      </c>
      <c r="R55" s="59">
        <f t="shared" si="10"/>
        <v>69.14</v>
      </c>
      <c r="S55" s="59">
        <f t="shared" si="10"/>
        <v>69.14</v>
      </c>
      <c r="T55" s="59">
        <f t="shared" si="10"/>
        <v>69.14</v>
      </c>
      <c r="U55" s="43"/>
      <c r="V55" s="317">
        <f>M55+IF(P55-N55&lt;ROUND(Basisbedragen!$C$57*$W$1,2),P55-N55,ROUND(Basisbedragen!$C$57*$W$1,2))</f>
        <v>59.65</v>
      </c>
      <c r="W55" s="59">
        <f>N55+IF(P55-N55&lt;ROUND(Basisbedragen!$C$57*$W$1,2),P55-N55,ROUND(Basisbedragen!$C$57*$W$1,2))</f>
        <v>69.14</v>
      </c>
    </row>
    <row r="56" spans="1:23" ht="15" hidden="1" outlineLevel="1" thickBot="1">
      <c r="A56" s="54">
        <f t="shared" si="6"/>
        <v>48</v>
      </c>
      <c r="C56" s="59">
        <f>IF(ROUND(ROUND(('Loonschijven_Tranches salariale'!$Q55*0.65),4)*$W$1,2)&lt;C$8,C$8,ROUND(ROUND(('Loonschijven_Tranches salariale'!$Q55*0.65),4)*$W$1,2))</f>
        <v>68.23</v>
      </c>
      <c r="D56" s="59">
        <f>IF(ROUND(ROUND(('Loonschijven_Tranches salariale'!$Q55*0.6),4)*$W$1,2)&lt;D$8,D$8,ROUND(ROUND(('Loonschijven_Tranches salariale'!$Q55*0.6),4)*$W$1,2))</f>
        <v>68.23</v>
      </c>
      <c r="E56" s="59">
        <f>IF(ROUND(ROUND(('Loonschijven_Tranches salariale'!$Q55*0.6),4)*$W$1,2)&lt;E$8,E$8,IF('Loonschijven_Tranches salariale'!$Q55&lt;Basisbedragen!$C$24,ROUND(ROUND(('Loonschijven_Tranches salariale'!$Q55*0.6),4)*$W$1,2),ROUND(ROUND((Basisbedragen!$C$24*0.6),4)*$W$1,2)))</f>
        <v>68.23</v>
      </c>
      <c r="F56" s="42"/>
      <c r="G56" s="59">
        <f>IF(ROUND(ROUND(('Loonschijven_Tranches salariale'!$Q55*0.6),4)*$W$1,2)&lt;G$8,G$8,IF('Loonschijven_Tranches salariale'!$Q55&lt;Basisbedragen!$C$23,ROUND(ROUND(('Loonschijven_Tranches salariale'!$Q55*0.6),4)*$W$1,2),ROUND(ROUND((Basisbedragen!$C$23*0.6),4)*$W$1,2)))</f>
        <v>68.23</v>
      </c>
      <c r="H56" s="59">
        <f t="shared" si="9"/>
        <v>68.23</v>
      </c>
      <c r="I56" s="59">
        <f t="shared" si="9"/>
        <v>68.23</v>
      </c>
      <c r="J56" s="59">
        <f t="shared" si="9"/>
        <v>68.23</v>
      </c>
      <c r="K56" s="59">
        <f t="shared" si="9"/>
        <v>68.23</v>
      </c>
      <c r="L56" s="42"/>
      <c r="M56" s="42">
        <f t="shared" si="7"/>
        <v>58.74</v>
      </c>
      <c r="N56" s="59">
        <f t="shared" si="8"/>
        <v>68.23</v>
      </c>
      <c r="O56" s="42"/>
      <c r="P56" s="59">
        <f>IF(ROUND(ROUND(('Loonschijven_Tranches salariale'!$Q55*0.6),4)*$W$1,2)+ROUND(Basisbedragen!$C$56*$W$1,2)&lt;$P$8,$P$8,IF('Loonschijven_Tranches salariale'!$Q55&lt;Basisbedragen!$C$23,ROUND(ROUND(('Loonschijven_Tranches salariale'!$Q55*0.6),4)*$W$1,2)+ROUND(Basisbedragen!$C$56*$W$1,2),ROUND(ROUND((Basisbedragen!$C$23*0.6),4)*$W$1,2)+ROUND(Basisbedragen!$C$56*$W$1,2)))</f>
        <v>69.14</v>
      </c>
      <c r="Q56" s="59">
        <f t="shared" si="10"/>
        <v>69.14</v>
      </c>
      <c r="R56" s="59">
        <f t="shared" si="10"/>
        <v>69.14</v>
      </c>
      <c r="S56" s="59">
        <f t="shared" si="10"/>
        <v>69.14</v>
      </c>
      <c r="T56" s="59">
        <f t="shared" si="10"/>
        <v>69.14</v>
      </c>
      <c r="U56" s="43"/>
      <c r="V56" s="317">
        <f>M56+IF(P56-N56&lt;ROUND(Basisbedragen!$C$57*$W$1,2),P56-N56,ROUND(Basisbedragen!$C$57*$W$1,2))</f>
        <v>59.65</v>
      </c>
      <c r="W56" s="59">
        <f>N56+IF(P56-N56&lt;ROUND(Basisbedragen!$C$57*$W$1,2),P56-N56,ROUND(Basisbedragen!$C$57*$W$1,2))</f>
        <v>69.14</v>
      </c>
    </row>
    <row r="57" spans="1:23" ht="15" hidden="1" outlineLevel="1" thickBot="1">
      <c r="A57" s="54">
        <f t="shared" si="6"/>
        <v>49</v>
      </c>
      <c r="C57" s="59">
        <f>IF(ROUND(ROUND(('Loonschijven_Tranches salariale'!$Q56*0.65),4)*$W$1,2)&lt;C$8,C$8,ROUND(ROUND(('Loonschijven_Tranches salariale'!$Q56*0.65),4)*$W$1,2))</f>
        <v>68.23</v>
      </c>
      <c r="D57" s="59">
        <f>IF(ROUND(ROUND(('Loonschijven_Tranches salariale'!$Q56*0.6),4)*$W$1,2)&lt;D$8,D$8,ROUND(ROUND(('Loonschijven_Tranches salariale'!$Q56*0.6),4)*$W$1,2))</f>
        <v>68.23</v>
      </c>
      <c r="E57" s="59">
        <f>IF(ROUND(ROUND(('Loonschijven_Tranches salariale'!$Q56*0.6),4)*$W$1,2)&lt;E$8,E$8,IF('Loonschijven_Tranches salariale'!$Q56&lt;Basisbedragen!$C$24,ROUND(ROUND(('Loonschijven_Tranches salariale'!$Q56*0.6),4)*$W$1,2),ROUND(ROUND((Basisbedragen!$C$24*0.6),4)*$W$1,2)))</f>
        <v>68.23</v>
      </c>
      <c r="F57" s="42"/>
      <c r="G57" s="59">
        <f>IF(ROUND(ROUND(('Loonschijven_Tranches salariale'!$Q56*0.6),4)*$W$1,2)&lt;G$8,G$8,IF('Loonschijven_Tranches salariale'!$Q56&lt;Basisbedragen!$C$23,ROUND(ROUND(('Loonschijven_Tranches salariale'!$Q56*0.6),4)*$W$1,2),ROUND(ROUND((Basisbedragen!$C$23*0.6),4)*$W$1,2)))</f>
        <v>68.23</v>
      </c>
      <c r="H57" s="59">
        <f t="shared" si="9"/>
        <v>68.23</v>
      </c>
      <c r="I57" s="59">
        <f t="shared" si="9"/>
        <v>68.23</v>
      </c>
      <c r="J57" s="59">
        <f t="shared" si="9"/>
        <v>68.23</v>
      </c>
      <c r="K57" s="59">
        <f t="shared" si="9"/>
        <v>68.23</v>
      </c>
      <c r="L57" s="42"/>
      <c r="M57" s="42">
        <f t="shared" si="7"/>
        <v>58.74</v>
      </c>
      <c r="N57" s="59">
        <f t="shared" si="8"/>
        <v>68.23</v>
      </c>
      <c r="O57" s="42"/>
      <c r="P57" s="59">
        <f>IF(ROUND(ROUND(('Loonschijven_Tranches salariale'!$Q56*0.6),4)*$W$1,2)+ROUND(Basisbedragen!$C$56*$W$1,2)&lt;$P$8,$P$8,IF('Loonschijven_Tranches salariale'!$Q56&lt;Basisbedragen!$C$23,ROUND(ROUND(('Loonschijven_Tranches salariale'!$Q56*0.6),4)*$W$1,2)+ROUND(Basisbedragen!$C$56*$W$1,2),ROUND(ROUND((Basisbedragen!$C$23*0.6),4)*$W$1,2)+ROUND(Basisbedragen!$C$56*$W$1,2)))</f>
        <v>69.14</v>
      </c>
      <c r="Q57" s="59">
        <f t="shared" si="10"/>
        <v>69.14</v>
      </c>
      <c r="R57" s="59">
        <f t="shared" si="10"/>
        <v>69.14</v>
      </c>
      <c r="S57" s="59">
        <f t="shared" si="10"/>
        <v>69.14</v>
      </c>
      <c r="T57" s="59">
        <f t="shared" si="10"/>
        <v>69.14</v>
      </c>
      <c r="U57" s="43"/>
      <c r="V57" s="317">
        <f>M57+IF(P57-N57&lt;ROUND(Basisbedragen!$C$57*$W$1,2),P57-N57,ROUND(Basisbedragen!$C$57*$W$1,2))</f>
        <v>59.65</v>
      </c>
      <c r="W57" s="59">
        <f>N57+IF(P57-N57&lt;ROUND(Basisbedragen!$C$57*$W$1,2),P57-N57,ROUND(Basisbedragen!$C$57*$W$1,2))</f>
        <v>69.14</v>
      </c>
    </row>
    <row r="58" spans="1:23" ht="15" hidden="1" outlineLevel="1" thickBot="1">
      <c r="A58" s="54">
        <f t="shared" si="6"/>
        <v>50</v>
      </c>
      <c r="C58" s="59">
        <f>IF(ROUND(ROUND(('Loonschijven_Tranches salariale'!$Q57*0.65),4)*$W$1,2)&lt;C$8,C$8,ROUND(ROUND(('Loonschijven_Tranches salariale'!$Q57*0.65),4)*$W$1,2))</f>
        <v>68.23</v>
      </c>
      <c r="D58" s="59">
        <f>IF(ROUND(ROUND(('Loonschijven_Tranches salariale'!$Q57*0.6),4)*$W$1,2)&lt;D$8,D$8,ROUND(ROUND(('Loonschijven_Tranches salariale'!$Q57*0.6),4)*$W$1,2))</f>
        <v>68.23</v>
      </c>
      <c r="E58" s="59">
        <f>IF(ROUND(ROUND(('Loonschijven_Tranches salariale'!$Q57*0.6),4)*$W$1,2)&lt;E$8,E$8,IF('Loonschijven_Tranches salariale'!$Q57&lt;Basisbedragen!$C$24,ROUND(ROUND(('Loonschijven_Tranches salariale'!$Q57*0.6),4)*$W$1,2),ROUND(ROUND((Basisbedragen!$C$24*0.6),4)*$W$1,2)))</f>
        <v>68.23</v>
      </c>
      <c r="F58" s="42"/>
      <c r="G58" s="59">
        <f>IF(ROUND(ROUND(('Loonschijven_Tranches salariale'!$Q57*0.6),4)*$W$1,2)&lt;G$8,G$8,IF('Loonschijven_Tranches salariale'!$Q57&lt;Basisbedragen!$C$23,ROUND(ROUND(('Loonschijven_Tranches salariale'!$Q57*0.6),4)*$W$1,2),ROUND(ROUND((Basisbedragen!$C$23*0.6),4)*$W$1,2)))</f>
        <v>68.23</v>
      </c>
      <c r="H58" s="59">
        <f t="shared" si="9"/>
        <v>68.23</v>
      </c>
      <c r="I58" s="59">
        <f t="shared" si="9"/>
        <v>68.23</v>
      </c>
      <c r="J58" s="59">
        <f t="shared" si="9"/>
        <v>68.23</v>
      </c>
      <c r="K58" s="59">
        <f t="shared" si="9"/>
        <v>68.23</v>
      </c>
      <c r="L58" s="42"/>
      <c r="M58" s="42">
        <f t="shared" si="7"/>
        <v>58.74</v>
      </c>
      <c r="N58" s="59">
        <f t="shared" si="8"/>
        <v>68.23</v>
      </c>
      <c r="O58" s="42"/>
      <c r="P58" s="59">
        <f>IF(ROUND(ROUND(('Loonschijven_Tranches salariale'!$Q57*0.6),4)*$W$1,2)+ROUND(Basisbedragen!$C$56*$W$1,2)&lt;$P$8,$P$8,IF('Loonschijven_Tranches salariale'!$Q57&lt;Basisbedragen!$C$23,ROUND(ROUND(('Loonschijven_Tranches salariale'!$Q57*0.6),4)*$W$1,2)+ROUND(Basisbedragen!$C$56*$W$1,2),ROUND(ROUND((Basisbedragen!$C$23*0.6),4)*$W$1,2)+ROUND(Basisbedragen!$C$56*$W$1,2)))</f>
        <v>69.14</v>
      </c>
      <c r="Q58" s="59">
        <f t="shared" si="10"/>
        <v>69.14</v>
      </c>
      <c r="R58" s="59">
        <f t="shared" si="10"/>
        <v>69.14</v>
      </c>
      <c r="S58" s="59">
        <f t="shared" si="10"/>
        <v>69.14</v>
      </c>
      <c r="T58" s="59">
        <f t="shared" si="10"/>
        <v>69.14</v>
      </c>
      <c r="U58" s="43"/>
      <c r="V58" s="317">
        <f>M58+IF(P58-N58&lt;ROUND(Basisbedragen!$C$57*$W$1,2),P58-N58,ROUND(Basisbedragen!$C$57*$W$1,2))</f>
        <v>59.65</v>
      </c>
      <c r="W58" s="59">
        <f>N58+IF(P58-N58&lt;ROUND(Basisbedragen!$C$57*$W$1,2),P58-N58,ROUND(Basisbedragen!$C$57*$W$1,2))</f>
        <v>69.14</v>
      </c>
    </row>
    <row r="59" spans="1:23" ht="15" hidden="1" outlineLevel="1" thickBot="1">
      <c r="A59" s="54">
        <f t="shared" si="6"/>
        <v>51</v>
      </c>
      <c r="C59" s="59">
        <f>IF(ROUND(ROUND(('Loonschijven_Tranches salariale'!$Q58*0.65),4)*$W$1,2)&lt;C$8,C$8,ROUND(ROUND(('Loonschijven_Tranches salariale'!$Q58*0.65),4)*$W$1,2))</f>
        <v>68.23</v>
      </c>
      <c r="D59" s="59">
        <f>IF(ROUND(ROUND(('Loonschijven_Tranches salariale'!$Q58*0.6),4)*$W$1,2)&lt;D$8,D$8,ROUND(ROUND(('Loonschijven_Tranches salariale'!$Q58*0.6),4)*$W$1,2))</f>
        <v>68.23</v>
      </c>
      <c r="E59" s="59">
        <f>IF(ROUND(ROUND(('Loonschijven_Tranches salariale'!$Q58*0.6),4)*$W$1,2)&lt;E$8,E$8,IF('Loonschijven_Tranches salariale'!$Q58&lt;Basisbedragen!$C$24,ROUND(ROUND(('Loonschijven_Tranches salariale'!$Q58*0.6),4)*$W$1,2),ROUND(ROUND((Basisbedragen!$C$24*0.6),4)*$W$1,2)))</f>
        <v>68.23</v>
      </c>
      <c r="F59" s="42"/>
      <c r="G59" s="59">
        <f>IF(ROUND(ROUND(('Loonschijven_Tranches salariale'!$Q58*0.6),4)*$W$1,2)&lt;G$8,G$8,IF('Loonschijven_Tranches salariale'!$Q58&lt;Basisbedragen!$C$23,ROUND(ROUND(('Loonschijven_Tranches salariale'!$Q58*0.6),4)*$W$1,2),ROUND(ROUND((Basisbedragen!$C$23*0.6),4)*$W$1,2)))</f>
        <v>68.23</v>
      </c>
      <c r="H59" s="59">
        <f t="shared" si="9"/>
        <v>68.23</v>
      </c>
      <c r="I59" s="59">
        <f t="shared" si="9"/>
        <v>68.23</v>
      </c>
      <c r="J59" s="59">
        <f t="shared" si="9"/>
        <v>68.23</v>
      </c>
      <c r="K59" s="59">
        <f t="shared" si="9"/>
        <v>68.23</v>
      </c>
      <c r="L59" s="42"/>
      <c r="M59" s="42">
        <f t="shared" si="7"/>
        <v>58.74</v>
      </c>
      <c r="N59" s="59">
        <f t="shared" si="8"/>
        <v>68.23</v>
      </c>
      <c r="O59" s="42"/>
      <c r="P59" s="59">
        <f>IF(ROUND(ROUND(('Loonschijven_Tranches salariale'!$Q58*0.6),4)*$W$1,2)+ROUND(Basisbedragen!$C$56*$W$1,2)&lt;$P$8,$P$8,IF('Loonschijven_Tranches salariale'!$Q58&lt;Basisbedragen!$C$23,ROUND(ROUND(('Loonschijven_Tranches salariale'!$Q58*0.6),4)*$W$1,2)+ROUND(Basisbedragen!$C$56*$W$1,2),ROUND(ROUND((Basisbedragen!$C$23*0.6),4)*$W$1,2)+ROUND(Basisbedragen!$C$56*$W$1,2)))</f>
        <v>69.14</v>
      </c>
      <c r="Q59" s="59">
        <f t="shared" si="10"/>
        <v>69.14</v>
      </c>
      <c r="R59" s="59">
        <f t="shared" si="10"/>
        <v>69.14</v>
      </c>
      <c r="S59" s="59">
        <f t="shared" si="10"/>
        <v>69.14</v>
      </c>
      <c r="T59" s="59">
        <f t="shared" si="10"/>
        <v>69.14</v>
      </c>
      <c r="U59" s="43"/>
      <c r="V59" s="317">
        <f>M59+IF(P59-N59&lt;ROUND(Basisbedragen!$C$57*$W$1,2),P59-N59,ROUND(Basisbedragen!$C$57*$W$1,2))</f>
        <v>59.65</v>
      </c>
      <c r="W59" s="59">
        <f>N59+IF(P59-N59&lt;ROUND(Basisbedragen!$C$57*$W$1,2),P59-N59,ROUND(Basisbedragen!$C$57*$W$1,2))</f>
        <v>69.14</v>
      </c>
    </row>
    <row r="60" spans="1:23" ht="15" hidden="1" outlineLevel="1" thickBot="1">
      <c r="A60" s="54">
        <f t="shared" si="6"/>
        <v>52</v>
      </c>
      <c r="C60" s="59">
        <f>IF(ROUND(ROUND(('Loonschijven_Tranches salariale'!$Q59*0.65),4)*$W$1,2)&lt;C$8,C$8,ROUND(ROUND(('Loonschijven_Tranches salariale'!$Q59*0.65),4)*$W$1,2))</f>
        <v>68.23</v>
      </c>
      <c r="D60" s="59">
        <f>IF(ROUND(ROUND(('Loonschijven_Tranches salariale'!$Q59*0.6),4)*$W$1,2)&lt;D$8,D$8,ROUND(ROUND(('Loonschijven_Tranches salariale'!$Q59*0.6),4)*$W$1,2))</f>
        <v>68.23</v>
      </c>
      <c r="E60" s="59">
        <f>IF(ROUND(ROUND(('Loonschijven_Tranches salariale'!$Q59*0.6),4)*$W$1,2)&lt;E$8,E$8,IF('Loonschijven_Tranches salariale'!$Q59&lt;Basisbedragen!$C$24,ROUND(ROUND(('Loonschijven_Tranches salariale'!$Q59*0.6),4)*$W$1,2),ROUND(ROUND((Basisbedragen!$C$24*0.6),4)*$W$1,2)))</f>
        <v>68.23</v>
      </c>
      <c r="F60" s="42"/>
      <c r="G60" s="59">
        <f>IF(ROUND(ROUND(('Loonschijven_Tranches salariale'!$Q59*0.6),4)*$W$1,2)&lt;G$8,G$8,IF('Loonschijven_Tranches salariale'!$Q59&lt;Basisbedragen!$C$23,ROUND(ROUND(('Loonschijven_Tranches salariale'!$Q59*0.6),4)*$W$1,2),ROUND(ROUND((Basisbedragen!$C$23*0.6),4)*$W$1,2)))</f>
        <v>68.23</v>
      </c>
      <c r="H60" s="59">
        <f t="shared" si="9"/>
        <v>68.23</v>
      </c>
      <c r="I60" s="59">
        <f t="shared" si="9"/>
        <v>68.23</v>
      </c>
      <c r="J60" s="59">
        <f t="shared" si="9"/>
        <v>68.23</v>
      </c>
      <c r="K60" s="59">
        <f t="shared" si="9"/>
        <v>68.23</v>
      </c>
      <c r="L60" s="42"/>
      <c r="M60" s="42">
        <f t="shared" si="7"/>
        <v>58.74</v>
      </c>
      <c r="N60" s="59">
        <f t="shared" si="8"/>
        <v>68.23</v>
      </c>
      <c r="O60" s="42"/>
      <c r="P60" s="59">
        <f>IF(ROUND(ROUND(('Loonschijven_Tranches salariale'!$Q59*0.6),4)*$W$1,2)+ROUND(Basisbedragen!$C$56*$W$1,2)&lt;$P$8,$P$8,IF('Loonschijven_Tranches salariale'!$Q59&lt;Basisbedragen!$C$23,ROUND(ROUND(('Loonschijven_Tranches salariale'!$Q59*0.6),4)*$W$1,2)+ROUND(Basisbedragen!$C$56*$W$1,2),ROUND(ROUND((Basisbedragen!$C$23*0.6),4)*$W$1,2)+ROUND(Basisbedragen!$C$56*$W$1,2)))</f>
        <v>69.14</v>
      </c>
      <c r="Q60" s="59">
        <f t="shared" si="10"/>
        <v>69.14</v>
      </c>
      <c r="R60" s="59">
        <f t="shared" si="10"/>
        <v>69.14</v>
      </c>
      <c r="S60" s="59">
        <f t="shared" si="10"/>
        <v>69.14</v>
      </c>
      <c r="T60" s="59">
        <f t="shared" si="10"/>
        <v>69.14</v>
      </c>
      <c r="U60" s="43"/>
      <c r="V60" s="317">
        <f>M60+IF(P60-N60&lt;ROUND(Basisbedragen!$C$57*$W$1,2),P60-N60,ROUND(Basisbedragen!$C$57*$W$1,2))</f>
        <v>59.65</v>
      </c>
      <c r="W60" s="59">
        <f>N60+IF(P60-N60&lt;ROUND(Basisbedragen!$C$57*$W$1,2),P60-N60,ROUND(Basisbedragen!$C$57*$W$1,2))</f>
        <v>69.14</v>
      </c>
    </row>
    <row r="61" spans="1:23" ht="15" hidden="1" outlineLevel="1" thickBot="1">
      <c r="A61" s="54">
        <f t="shared" si="6"/>
        <v>53</v>
      </c>
      <c r="C61" s="59">
        <f>IF(ROUND(ROUND(('Loonschijven_Tranches salariale'!$Q60*0.65),4)*$W$1,2)&lt;C$8,C$8,ROUND(ROUND(('Loonschijven_Tranches salariale'!$Q60*0.65),4)*$W$1,2))</f>
        <v>68.23</v>
      </c>
      <c r="D61" s="59">
        <f>IF(ROUND(ROUND(('Loonschijven_Tranches salariale'!$Q60*0.6),4)*$W$1,2)&lt;D$8,D$8,ROUND(ROUND(('Loonschijven_Tranches salariale'!$Q60*0.6),4)*$W$1,2))</f>
        <v>68.23</v>
      </c>
      <c r="E61" s="59">
        <f>IF(ROUND(ROUND(('Loonschijven_Tranches salariale'!$Q60*0.6),4)*$W$1,2)&lt;E$8,E$8,IF('Loonschijven_Tranches salariale'!$Q60&lt;Basisbedragen!$C$24,ROUND(ROUND(('Loonschijven_Tranches salariale'!$Q60*0.6),4)*$W$1,2),ROUND(ROUND((Basisbedragen!$C$24*0.6),4)*$W$1,2)))</f>
        <v>68.23</v>
      </c>
      <c r="F61" s="42"/>
      <c r="G61" s="59">
        <f>IF(ROUND(ROUND(('Loonschijven_Tranches salariale'!$Q60*0.6),4)*$W$1,2)&lt;G$8,G$8,IF('Loonschijven_Tranches salariale'!$Q60&lt;Basisbedragen!$C$23,ROUND(ROUND(('Loonschijven_Tranches salariale'!$Q60*0.6),4)*$W$1,2),ROUND(ROUND((Basisbedragen!$C$23*0.6),4)*$W$1,2)))</f>
        <v>68.23</v>
      </c>
      <c r="H61" s="59">
        <f t="shared" si="9"/>
        <v>68.23</v>
      </c>
      <c r="I61" s="59">
        <f t="shared" si="9"/>
        <v>68.23</v>
      </c>
      <c r="J61" s="59">
        <f t="shared" si="9"/>
        <v>68.23</v>
      </c>
      <c r="K61" s="59">
        <f t="shared" si="9"/>
        <v>68.23</v>
      </c>
      <c r="L61" s="42"/>
      <c r="M61" s="42">
        <f t="shared" si="7"/>
        <v>58.74</v>
      </c>
      <c r="N61" s="59">
        <f t="shared" si="8"/>
        <v>68.23</v>
      </c>
      <c r="O61" s="42"/>
      <c r="P61" s="59">
        <f>IF(ROUND(ROUND(('Loonschijven_Tranches salariale'!$Q60*0.6),4)*$W$1,2)+ROUND(Basisbedragen!$C$56*$W$1,2)&lt;$P$8,$P$8,IF('Loonschijven_Tranches salariale'!$Q60&lt;Basisbedragen!$C$23,ROUND(ROUND(('Loonschijven_Tranches salariale'!$Q60*0.6),4)*$W$1,2)+ROUND(Basisbedragen!$C$56*$W$1,2),ROUND(ROUND((Basisbedragen!$C$23*0.6),4)*$W$1,2)+ROUND(Basisbedragen!$C$56*$W$1,2)))</f>
        <v>69.14</v>
      </c>
      <c r="Q61" s="59">
        <f t="shared" si="10"/>
        <v>69.14</v>
      </c>
      <c r="R61" s="59">
        <f t="shared" si="10"/>
        <v>69.14</v>
      </c>
      <c r="S61" s="59">
        <f t="shared" si="10"/>
        <v>69.14</v>
      </c>
      <c r="T61" s="59">
        <f t="shared" si="10"/>
        <v>69.14</v>
      </c>
      <c r="U61" s="43"/>
      <c r="V61" s="317">
        <f>M61+IF(P61-N61&lt;ROUND(Basisbedragen!$C$57*$W$1,2),P61-N61,ROUND(Basisbedragen!$C$57*$W$1,2))</f>
        <v>59.65</v>
      </c>
      <c r="W61" s="59">
        <f>N61+IF(P61-N61&lt;ROUND(Basisbedragen!$C$57*$W$1,2),P61-N61,ROUND(Basisbedragen!$C$57*$W$1,2))</f>
        <v>69.14</v>
      </c>
    </row>
    <row r="62" spans="1:23" ht="15" hidden="1" outlineLevel="1" thickBot="1">
      <c r="A62" s="54">
        <f t="shared" si="6"/>
        <v>54</v>
      </c>
      <c r="C62" s="59">
        <f>IF(ROUND(ROUND(('Loonschijven_Tranches salariale'!$Q61*0.65),4)*$W$1,2)&lt;C$8,C$8,ROUND(ROUND(('Loonschijven_Tranches salariale'!$Q61*0.65),4)*$W$1,2))</f>
        <v>68.23</v>
      </c>
      <c r="D62" s="59">
        <f>IF(ROUND(ROUND(('Loonschijven_Tranches salariale'!$Q61*0.6),4)*$W$1,2)&lt;D$8,D$8,ROUND(ROUND(('Loonschijven_Tranches salariale'!$Q61*0.6),4)*$W$1,2))</f>
        <v>68.23</v>
      </c>
      <c r="E62" s="59">
        <f>IF(ROUND(ROUND(('Loonschijven_Tranches salariale'!$Q61*0.6),4)*$W$1,2)&lt;E$8,E$8,IF('Loonschijven_Tranches salariale'!$Q61&lt;Basisbedragen!$C$24,ROUND(ROUND(('Loonschijven_Tranches salariale'!$Q61*0.6),4)*$W$1,2),ROUND(ROUND((Basisbedragen!$C$24*0.6),4)*$W$1,2)))</f>
        <v>68.23</v>
      </c>
      <c r="F62" s="42"/>
      <c r="G62" s="59">
        <f>IF(ROUND(ROUND(('Loonschijven_Tranches salariale'!$Q61*0.6),4)*$W$1,2)&lt;G$8,G$8,IF('Loonschijven_Tranches salariale'!$Q61&lt;Basisbedragen!$C$23,ROUND(ROUND(('Loonschijven_Tranches salariale'!$Q61*0.6),4)*$W$1,2),ROUND(ROUND((Basisbedragen!$C$23*0.6),4)*$W$1,2)))</f>
        <v>68.23</v>
      </c>
      <c r="H62" s="59">
        <f t="shared" si="9"/>
        <v>68.23</v>
      </c>
      <c r="I62" s="59">
        <f t="shared" si="9"/>
        <v>68.23</v>
      </c>
      <c r="J62" s="59">
        <f t="shared" si="9"/>
        <v>68.23</v>
      </c>
      <c r="K62" s="59">
        <f t="shared" si="9"/>
        <v>68.23</v>
      </c>
      <c r="L62" s="42"/>
      <c r="M62" s="42">
        <f t="shared" si="7"/>
        <v>58.74</v>
      </c>
      <c r="N62" s="59">
        <f t="shared" si="8"/>
        <v>68.23</v>
      </c>
      <c r="O62" s="42"/>
      <c r="P62" s="59">
        <f>IF(ROUND(ROUND(('Loonschijven_Tranches salariale'!$Q61*0.6),4)*$W$1,2)+ROUND(Basisbedragen!$C$56*$W$1,2)&lt;$P$8,$P$8,IF('Loonschijven_Tranches salariale'!$Q61&lt;Basisbedragen!$C$23,ROUND(ROUND(('Loonschijven_Tranches salariale'!$Q61*0.6),4)*$W$1,2)+ROUND(Basisbedragen!$C$56*$W$1,2),ROUND(ROUND((Basisbedragen!$C$23*0.6),4)*$W$1,2)+ROUND(Basisbedragen!$C$56*$W$1,2)))</f>
        <v>69.14</v>
      </c>
      <c r="Q62" s="59">
        <f t="shared" si="10"/>
        <v>69.14</v>
      </c>
      <c r="R62" s="59">
        <f t="shared" si="10"/>
        <v>69.14</v>
      </c>
      <c r="S62" s="59">
        <f t="shared" si="10"/>
        <v>69.14</v>
      </c>
      <c r="T62" s="59">
        <f t="shared" si="10"/>
        <v>69.14</v>
      </c>
      <c r="U62" s="43"/>
      <c r="V62" s="317">
        <f>M62+IF(P62-N62&lt;ROUND(Basisbedragen!$C$57*$W$1,2),P62-N62,ROUND(Basisbedragen!$C$57*$W$1,2))</f>
        <v>59.65</v>
      </c>
      <c r="W62" s="59">
        <f>N62+IF(P62-N62&lt;ROUND(Basisbedragen!$C$57*$W$1,2),P62-N62,ROUND(Basisbedragen!$C$57*$W$1,2))</f>
        <v>69.14</v>
      </c>
    </row>
    <row r="63" spans="1:23" ht="15" hidden="1" outlineLevel="1" thickBot="1">
      <c r="A63" s="54">
        <f t="shared" si="6"/>
        <v>55</v>
      </c>
      <c r="C63" s="59">
        <f>IF(ROUND(ROUND(('Loonschijven_Tranches salariale'!$Q62*0.65),4)*$W$1,2)&lt;C$8,C$8,ROUND(ROUND(('Loonschijven_Tranches salariale'!$Q62*0.65),4)*$W$1,2))</f>
        <v>68.23</v>
      </c>
      <c r="D63" s="59">
        <f>IF(ROUND(ROUND(('Loonschijven_Tranches salariale'!$Q62*0.6),4)*$W$1,2)&lt;D$8,D$8,ROUND(ROUND(('Loonschijven_Tranches salariale'!$Q62*0.6),4)*$W$1,2))</f>
        <v>68.23</v>
      </c>
      <c r="E63" s="59">
        <f>IF(ROUND(ROUND(('Loonschijven_Tranches salariale'!$Q62*0.6),4)*$W$1,2)&lt;E$8,E$8,IF('Loonschijven_Tranches salariale'!$Q62&lt;Basisbedragen!$C$24,ROUND(ROUND(('Loonschijven_Tranches salariale'!$Q62*0.6),4)*$W$1,2),ROUND(ROUND((Basisbedragen!$C$24*0.6),4)*$W$1,2)))</f>
        <v>68.23</v>
      </c>
      <c r="F63" s="42"/>
      <c r="G63" s="59">
        <f>IF(ROUND(ROUND(('Loonschijven_Tranches salariale'!$Q62*0.6),4)*$W$1,2)&lt;G$8,G$8,IF('Loonschijven_Tranches salariale'!$Q62&lt;Basisbedragen!$C$23,ROUND(ROUND(('Loonschijven_Tranches salariale'!$Q62*0.6),4)*$W$1,2),ROUND(ROUND((Basisbedragen!$C$23*0.6),4)*$W$1,2)))</f>
        <v>68.23</v>
      </c>
      <c r="H63" s="59">
        <f t="shared" si="9"/>
        <v>68.23</v>
      </c>
      <c r="I63" s="59">
        <f t="shared" si="9"/>
        <v>68.23</v>
      </c>
      <c r="J63" s="59">
        <f t="shared" si="9"/>
        <v>68.23</v>
      </c>
      <c r="K63" s="59">
        <f t="shared" si="9"/>
        <v>68.23</v>
      </c>
      <c r="L63" s="42"/>
      <c r="M63" s="42">
        <f t="shared" si="7"/>
        <v>58.74</v>
      </c>
      <c r="N63" s="59">
        <f t="shared" si="8"/>
        <v>68.23</v>
      </c>
      <c r="O63" s="42"/>
      <c r="P63" s="59">
        <f>IF(ROUND(ROUND(('Loonschijven_Tranches salariale'!$Q62*0.6),4)*$W$1,2)+ROUND(Basisbedragen!$C$56*$W$1,2)&lt;$P$8,$P$8,IF('Loonschijven_Tranches salariale'!$Q62&lt;Basisbedragen!$C$23,ROUND(ROUND(('Loonschijven_Tranches salariale'!$Q62*0.6),4)*$W$1,2)+ROUND(Basisbedragen!$C$56*$W$1,2),ROUND(ROUND((Basisbedragen!$C$23*0.6),4)*$W$1,2)+ROUND(Basisbedragen!$C$56*$W$1,2)))</f>
        <v>69.14</v>
      </c>
      <c r="Q63" s="59">
        <f t="shared" si="10"/>
        <v>69.14</v>
      </c>
      <c r="R63" s="59">
        <f t="shared" si="10"/>
        <v>69.14</v>
      </c>
      <c r="S63" s="59">
        <f t="shared" si="10"/>
        <v>69.14</v>
      </c>
      <c r="T63" s="59">
        <f t="shared" si="10"/>
        <v>69.14</v>
      </c>
      <c r="U63" s="43"/>
      <c r="V63" s="317">
        <f>M63+IF(P63-N63&lt;ROUND(Basisbedragen!$C$57*$W$1,2),P63-N63,ROUND(Basisbedragen!$C$57*$W$1,2))</f>
        <v>59.65</v>
      </c>
      <c r="W63" s="59">
        <f>N63+IF(P63-N63&lt;ROUND(Basisbedragen!$C$57*$W$1,2),P63-N63,ROUND(Basisbedragen!$C$57*$W$1,2))</f>
        <v>69.14</v>
      </c>
    </row>
    <row r="64" spans="1:23" ht="15" collapsed="1" thickBot="1">
      <c r="A64" s="54">
        <f t="shared" si="6"/>
        <v>56</v>
      </c>
      <c r="C64" s="59">
        <f>IF(ROUND(ROUND(('Loonschijven_Tranches salariale'!$Q63*0.65),4)*$W$1,2)&lt;C$8,C$8,ROUND(ROUND(('Loonschijven_Tranches salariale'!$Q63*0.65),4)*$W$1,2))</f>
        <v>68.23</v>
      </c>
      <c r="D64" s="59">
        <f>IF(ROUND(ROUND(('Loonschijven_Tranches salariale'!$Q63*0.6),4)*$W$1,2)&lt;D$8,D$8,ROUND(ROUND(('Loonschijven_Tranches salariale'!$Q63*0.6),4)*$W$1,2))</f>
        <v>68.23</v>
      </c>
      <c r="E64" s="59">
        <f>IF(ROUND(ROUND(('Loonschijven_Tranches salariale'!$Q63*0.6),4)*$W$1,2)&lt;E$8,E$8,IF('Loonschijven_Tranches salariale'!$Q63&lt;Basisbedragen!$C$24,ROUND(ROUND(('Loonschijven_Tranches salariale'!$Q63*0.6),4)*$W$1,2),ROUND(ROUND((Basisbedragen!$C$24*0.6),4)*$W$1,2)))</f>
        <v>68.23</v>
      </c>
      <c r="F64" s="42"/>
      <c r="G64" s="59">
        <f>IF(ROUND(ROUND(('Loonschijven_Tranches salariale'!$Q63*0.6),4)*$W$1,2)&lt;G$8,G$8,IF('Loonschijven_Tranches salariale'!$Q63&lt;Basisbedragen!$C$23,ROUND(ROUND(('Loonschijven_Tranches salariale'!$Q63*0.6),4)*$W$1,2),ROUND(ROUND((Basisbedragen!$C$23*0.6),4)*$W$1,2)))</f>
        <v>68.23</v>
      </c>
      <c r="H64" s="59">
        <f t="shared" si="9"/>
        <v>68.23</v>
      </c>
      <c r="I64" s="59">
        <f t="shared" si="9"/>
        <v>68.23</v>
      </c>
      <c r="J64" s="59">
        <f t="shared" si="9"/>
        <v>68.23</v>
      </c>
      <c r="K64" s="59">
        <f t="shared" si="9"/>
        <v>68.23</v>
      </c>
      <c r="L64" s="42"/>
      <c r="M64" s="42">
        <f t="shared" si="7"/>
        <v>58.74</v>
      </c>
      <c r="N64" s="59">
        <f t="shared" si="8"/>
        <v>68.23</v>
      </c>
      <c r="O64" s="42"/>
      <c r="P64" s="59">
        <f>IF(ROUND(ROUND(('Loonschijven_Tranches salariale'!$Q63*0.6),4)*$W$1,2)+ROUND(Basisbedragen!$C$56*$W$1,2)&lt;$P$8,$P$8,IF('Loonschijven_Tranches salariale'!$Q63&lt;Basisbedragen!$C$23,ROUND(ROUND(('Loonschijven_Tranches salariale'!$Q63*0.6),4)*$W$1,2)+ROUND(Basisbedragen!$C$56*$W$1,2),ROUND(ROUND((Basisbedragen!$C$23*0.6),4)*$W$1,2)+ROUND(Basisbedragen!$C$56*$W$1,2)))</f>
        <v>69.14</v>
      </c>
      <c r="Q64" s="59">
        <f t="shared" si="10"/>
        <v>69.14</v>
      </c>
      <c r="R64" s="59">
        <f t="shared" si="10"/>
        <v>69.14</v>
      </c>
      <c r="S64" s="59">
        <f t="shared" si="10"/>
        <v>69.14</v>
      </c>
      <c r="T64" s="59">
        <f t="shared" si="10"/>
        <v>69.14</v>
      </c>
      <c r="U64" s="43"/>
      <c r="V64" s="317">
        <f>M64+IF(P64-N64&lt;ROUND(Basisbedragen!$C$57*$W$1,2),P64-N64,ROUND(Basisbedragen!$C$57*$W$1,2))</f>
        <v>59.65</v>
      </c>
      <c r="W64" s="59">
        <f>N64+IF(P64-N64&lt;ROUND(Basisbedragen!$C$57*$W$1,2),P64-N64,ROUND(Basisbedragen!$C$57*$W$1,2))</f>
        <v>69.14</v>
      </c>
    </row>
    <row r="65" spans="1:23" ht="15" thickBot="1">
      <c r="A65" s="54">
        <f t="shared" si="6"/>
        <v>57</v>
      </c>
      <c r="C65" s="59">
        <f>IF(ROUND(ROUND(('Loonschijven_Tranches salariale'!$Q64*0.65),4)*$W$1,2)&lt;C$8,C$8,ROUND(ROUND(('Loonschijven_Tranches salariale'!$Q64*0.65),4)*$W$1,2))</f>
        <v>68.23</v>
      </c>
      <c r="D65" s="59">
        <f>IF(ROUND(ROUND(('Loonschijven_Tranches salariale'!$Q64*0.6),4)*$W$1,2)&lt;D$8,D$8,ROUND(ROUND(('Loonschijven_Tranches salariale'!$Q64*0.6),4)*$W$1,2))</f>
        <v>68.23</v>
      </c>
      <c r="E65" s="59">
        <f>IF(ROUND(ROUND(('Loonschijven_Tranches salariale'!$Q64*0.6),4)*$W$1,2)&lt;E$8,E$8,IF('Loonschijven_Tranches salariale'!$Q64&lt;Basisbedragen!$C$24,ROUND(ROUND(('Loonschijven_Tranches salariale'!$Q64*0.6),4)*$W$1,2),ROUND(ROUND((Basisbedragen!$C$24*0.6),4)*$W$1,2)))</f>
        <v>68.23</v>
      </c>
      <c r="F65" s="42"/>
      <c r="G65" s="59">
        <f>IF(ROUND(ROUND(('Loonschijven_Tranches salariale'!$Q64*0.6),4)*$W$1,2)&lt;G$8,G$8,IF('Loonschijven_Tranches salariale'!$Q64&lt;Basisbedragen!$C$23,ROUND(ROUND(('Loonschijven_Tranches salariale'!$Q64*0.6),4)*$W$1,2),ROUND(ROUND((Basisbedragen!$C$23*0.6),4)*$W$1,2)))</f>
        <v>68.23</v>
      </c>
      <c r="H65" s="59">
        <f t="shared" si="9"/>
        <v>68.23</v>
      </c>
      <c r="I65" s="59">
        <f t="shared" si="9"/>
        <v>68.23</v>
      </c>
      <c r="J65" s="59">
        <f t="shared" si="9"/>
        <v>68.23</v>
      </c>
      <c r="K65" s="59">
        <f t="shared" si="9"/>
        <v>68.23</v>
      </c>
      <c r="L65" s="42"/>
      <c r="M65" s="42">
        <f t="shared" si="7"/>
        <v>58.74</v>
      </c>
      <c r="N65" s="59">
        <f t="shared" si="8"/>
        <v>68.23</v>
      </c>
      <c r="O65" s="42"/>
      <c r="P65" s="59">
        <f>IF(ROUND(ROUND(('Loonschijven_Tranches salariale'!$Q64*0.6),4)*$W$1,2)+ROUND(Basisbedragen!$C$56*$W$1,2)&lt;$P$8,$P$8,IF('Loonschijven_Tranches salariale'!$Q64&lt;Basisbedragen!$C$23,ROUND(ROUND(('Loonschijven_Tranches salariale'!$Q64*0.6),4)*$W$1,2)+ROUND(Basisbedragen!$C$56*$W$1,2),ROUND(ROUND((Basisbedragen!$C$23*0.6),4)*$W$1,2)+ROUND(Basisbedragen!$C$56*$W$1,2)))</f>
        <v>69.14</v>
      </c>
      <c r="Q65" s="59">
        <f t="shared" si="10"/>
        <v>69.14</v>
      </c>
      <c r="R65" s="59">
        <f t="shared" si="10"/>
        <v>69.14</v>
      </c>
      <c r="S65" s="59">
        <f t="shared" si="10"/>
        <v>69.14</v>
      </c>
      <c r="T65" s="59">
        <f t="shared" si="10"/>
        <v>69.14</v>
      </c>
      <c r="U65" s="43"/>
      <c r="V65" s="317">
        <f>M65+IF(P65-N65&lt;ROUND(Basisbedragen!$C$57*$W$1,2),P65-N65,ROUND(Basisbedragen!$C$57*$W$1,2))</f>
        <v>59.65</v>
      </c>
      <c r="W65" s="59">
        <f>N65+IF(P65-N65&lt;ROUND(Basisbedragen!$C$57*$W$1,2),P65-N65,ROUND(Basisbedragen!$C$57*$W$1,2))</f>
        <v>69.14</v>
      </c>
    </row>
    <row r="66" spans="1:23" ht="15" thickBot="1">
      <c r="A66" s="54">
        <f t="shared" si="6"/>
        <v>58</v>
      </c>
      <c r="C66" s="59">
        <f>IF(ROUND(ROUND(('Loonschijven_Tranches salariale'!$Q65*0.65),4)*$W$1,2)&lt;C$8,C$8,ROUND(ROUND(('Loonschijven_Tranches salariale'!$Q65*0.65),4)*$W$1,2))</f>
        <v>68.23</v>
      </c>
      <c r="D66" s="59">
        <f>IF(ROUND(ROUND(('Loonschijven_Tranches salariale'!$Q65*0.6),4)*$W$1,2)&lt;D$8,D$8,ROUND(ROUND(('Loonschijven_Tranches salariale'!$Q65*0.6),4)*$W$1,2))</f>
        <v>68.23</v>
      </c>
      <c r="E66" s="59">
        <f>IF(ROUND(ROUND(('Loonschijven_Tranches salariale'!$Q65*0.6),4)*$W$1,2)&lt;E$8,E$8,IF('Loonschijven_Tranches salariale'!$Q65&lt;Basisbedragen!$C$24,ROUND(ROUND(('Loonschijven_Tranches salariale'!$Q65*0.6),4)*$W$1,2),ROUND(ROUND((Basisbedragen!$C$24*0.6),4)*$W$1,2)))</f>
        <v>68.23</v>
      </c>
      <c r="F66" s="42"/>
      <c r="G66" s="59">
        <f>IF(ROUND(ROUND(('Loonschijven_Tranches salariale'!$Q65*0.6),4)*$W$1,2)&lt;G$8,G$8,IF('Loonschijven_Tranches salariale'!$Q65&lt;Basisbedragen!$C$23,ROUND(ROUND(('Loonschijven_Tranches salariale'!$Q65*0.6),4)*$W$1,2),ROUND(ROUND((Basisbedragen!$C$23*0.6),4)*$W$1,2)))</f>
        <v>68.23</v>
      </c>
      <c r="H66" s="59">
        <f t="shared" si="9"/>
        <v>68.23</v>
      </c>
      <c r="I66" s="59">
        <f t="shared" si="9"/>
        <v>68.23</v>
      </c>
      <c r="J66" s="59">
        <f t="shared" si="9"/>
        <v>68.23</v>
      </c>
      <c r="K66" s="59">
        <f t="shared" si="9"/>
        <v>68.23</v>
      </c>
      <c r="L66" s="42"/>
      <c r="M66" s="42">
        <f t="shared" si="7"/>
        <v>58.74</v>
      </c>
      <c r="N66" s="59">
        <f t="shared" si="8"/>
        <v>68.23</v>
      </c>
      <c r="O66" s="42"/>
      <c r="P66" s="59">
        <f>IF(ROUND(ROUND(('Loonschijven_Tranches salariale'!$Q65*0.6),4)*$W$1,2)+ROUND(Basisbedragen!$C$56*$W$1,2)&lt;$P$8,$P$8,IF('Loonschijven_Tranches salariale'!$Q65&lt;Basisbedragen!$C$23,ROUND(ROUND(('Loonschijven_Tranches salariale'!$Q65*0.6),4)*$W$1,2)+ROUND(Basisbedragen!$C$56*$W$1,2),ROUND(ROUND((Basisbedragen!$C$23*0.6),4)*$W$1,2)+ROUND(Basisbedragen!$C$56*$W$1,2)))</f>
        <v>69.14</v>
      </c>
      <c r="Q66" s="59">
        <f t="shared" si="10"/>
        <v>69.14</v>
      </c>
      <c r="R66" s="59">
        <f t="shared" si="10"/>
        <v>69.14</v>
      </c>
      <c r="S66" s="59">
        <f t="shared" si="10"/>
        <v>69.14</v>
      </c>
      <c r="T66" s="59">
        <f t="shared" si="10"/>
        <v>69.14</v>
      </c>
      <c r="U66" s="43"/>
      <c r="V66" s="317">
        <f>M66+IF(P66-N66&lt;ROUND(Basisbedragen!$C$57*$W$1,2),P66-N66,ROUND(Basisbedragen!$C$57*$W$1,2))</f>
        <v>59.65</v>
      </c>
      <c r="W66" s="59">
        <f>N66+IF(P66-N66&lt;ROUND(Basisbedragen!$C$57*$W$1,2),P66-N66,ROUND(Basisbedragen!$C$57*$W$1,2))</f>
        <v>69.14</v>
      </c>
    </row>
    <row r="67" spans="1:23" ht="15" thickBot="1">
      <c r="A67" s="54">
        <f t="shared" si="6"/>
        <v>59</v>
      </c>
      <c r="C67" s="59">
        <f>IF(ROUND(ROUND(('Loonschijven_Tranches salariale'!$Q66*0.65),4)*$W$1,2)&lt;C$8,C$8,ROUND(ROUND(('Loonschijven_Tranches salariale'!$Q66*0.65),4)*$W$1,2))</f>
        <v>68.62</v>
      </c>
      <c r="D67" s="59">
        <f>IF(ROUND(ROUND(('Loonschijven_Tranches salariale'!$Q66*0.6),4)*$W$1,2)&lt;D$8,D$8,ROUND(ROUND(('Loonschijven_Tranches salariale'!$Q66*0.6),4)*$W$1,2))</f>
        <v>68.23</v>
      </c>
      <c r="E67" s="59">
        <f>IF(ROUND(ROUND(('Loonschijven_Tranches salariale'!$Q66*0.6),4)*$W$1,2)&lt;E$8,E$8,IF('Loonschijven_Tranches salariale'!$Q66&lt;Basisbedragen!$C$24,ROUND(ROUND(('Loonschijven_Tranches salariale'!$Q66*0.6),4)*$W$1,2),ROUND(ROUND((Basisbedragen!$C$24*0.6),4)*$W$1,2)))</f>
        <v>68.23</v>
      </c>
      <c r="F67" s="42"/>
      <c r="G67" s="59">
        <f>IF(ROUND(ROUND(('Loonschijven_Tranches salariale'!$Q66*0.6),4)*$W$1,2)&lt;G$8,G$8,IF('Loonschijven_Tranches salariale'!$Q66&lt;Basisbedragen!$C$23,ROUND(ROUND(('Loonschijven_Tranches salariale'!$Q66*0.6),4)*$W$1,2),ROUND(ROUND((Basisbedragen!$C$23*0.6),4)*$W$1,2)))</f>
        <v>68.23</v>
      </c>
      <c r="H67" s="59">
        <f t="shared" si="9"/>
        <v>68.23</v>
      </c>
      <c r="I67" s="59">
        <f t="shared" si="9"/>
        <v>68.23</v>
      </c>
      <c r="J67" s="59">
        <f t="shared" si="9"/>
        <v>68.23</v>
      </c>
      <c r="K67" s="59">
        <f t="shared" si="9"/>
        <v>68.23</v>
      </c>
      <c r="L67" s="42"/>
      <c r="M67" s="42">
        <f t="shared" si="7"/>
        <v>58.74</v>
      </c>
      <c r="N67" s="59">
        <f t="shared" si="8"/>
        <v>68.23</v>
      </c>
      <c r="O67" s="42"/>
      <c r="P67" s="59">
        <f>IF(ROUND(ROUND(('Loonschijven_Tranches salariale'!$Q66*0.6),4)*$W$1,2)+ROUND(Basisbedragen!$C$56*$W$1,2)&lt;$P$8,$P$8,IF('Loonschijven_Tranches salariale'!$Q66&lt;Basisbedragen!$C$23,ROUND(ROUND(('Loonschijven_Tranches salariale'!$Q66*0.6),4)*$W$1,2)+ROUND(Basisbedragen!$C$56*$W$1,2),ROUND(ROUND((Basisbedragen!$C$23*0.6),4)*$W$1,2)+ROUND(Basisbedragen!$C$56*$W$1,2)))</f>
        <v>69.5</v>
      </c>
      <c r="Q67" s="59">
        <f t="shared" si="10"/>
        <v>69.5</v>
      </c>
      <c r="R67" s="59">
        <f t="shared" si="10"/>
        <v>69.5</v>
      </c>
      <c r="S67" s="59">
        <f t="shared" si="10"/>
        <v>69.5</v>
      </c>
      <c r="T67" s="59">
        <f t="shared" si="10"/>
        <v>69.5</v>
      </c>
      <c r="U67" s="43"/>
      <c r="V67" s="317">
        <f>M67+IF(P67-N67&lt;ROUND(Basisbedragen!$C$57*$W$1,2),P67-N67,ROUND(Basisbedragen!$C$57*$W$1,2))</f>
        <v>60.01</v>
      </c>
      <c r="W67" s="59">
        <f>N67+IF(P67-N67&lt;ROUND(Basisbedragen!$C$57*$W$1,2),P67-N67,ROUND(Basisbedragen!$C$57*$W$1,2))</f>
        <v>69.5</v>
      </c>
    </row>
    <row r="68" spans="1:23" ht="15" thickBot="1">
      <c r="A68" s="54">
        <f t="shared" si="6"/>
        <v>60</v>
      </c>
      <c r="C68" s="59">
        <f>IF(ROUND(ROUND(('Loonschijven_Tranches salariale'!$Q67*0.65),4)*$W$1,2)&lt;C$8,C$8,ROUND(ROUND(('Loonschijven_Tranches salariale'!$Q67*0.65),4)*$W$1,2))</f>
        <v>69.47</v>
      </c>
      <c r="D68" s="59">
        <f>IF(ROUND(ROUND(('Loonschijven_Tranches salariale'!$Q67*0.6),4)*$W$1,2)&lt;D$8,D$8,ROUND(ROUND(('Loonschijven_Tranches salariale'!$Q67*0.6),4)*$W$1,2))</f>
        <v>68.23</v>
      </c>
      <c r="E68" s="59">
        <f>IF(ROUND(ROUND(('Loonschijven_Tranches salariale'!$Q67*0.6),4)*$W$1,2)&lt;E$8,E$8,IF('Loonschijven_Tranches salariale'!$Q67&lt;Basisbedragen!$C$24,ROUND(ROUND(('Loonschijven_Tranches salariale'!$Q67*0.6),4)*$W$1,2),ROUND(ROUND((Basisbedragen!$C$24*0.6),4)*$W$1,2)))</f>
        <v>68.23</v>
      </c>
      <c r="F68" s="42"/>
      <c r="G68" s="59">
        <f>IF(ROUND(ROUND(('Loonschijven_Tranches salariale'!$Q67*0.6),4)*$W$1,2)&lt;G$8,G$8,IF('Loonschijven_Tranches salariale'!$Q67&lt;Basisbedragen!$C$23,ROUND(ROUND(('Loonschijven_Tranches salariale'!$Q67*0.6),4)*$W$1,2),ROUND(ROUND((Basisbedragen!$C$23*0.6),4)*$W$1,2)))</f>
        <v>68.23</v>
      </c>
      <c r="H68" s="59">
        <f t="shared" si="9"/>
        <v>68.23</v>
      </c>
      <c r="I68" s="59">
        <f t="shared" si="9"/>
        <v>68.23</v>
      </c>
      <c r="J68" s="59">
        <f t="shared" si="9"/>
        <v>68.23</v>
      </c>
      <c r="K68" s="59">
        <f t="shared" si="9"/>
        <v>68.23</v>
      </c>
      <c r="L68" s="42"/>
      <c r="M68" s="42">
        <f t="shared" si="7"/>
        <v>58.74</v>
      </c>
      <c r="N68" s="59">
        <f t="shared" si="8"/>
        <v>68.23</v>
      </c>
      <c r="O68" s="42"/>
      <c r="P68" s="59">
        <f>IF(ROUND(ROUND(('Loonschijven_Tranches salariale'!$Q67*0.6),4)*$W$1,2)+ROUND(Basisbedragen!$C$56*$W$1,2)&lt;$P$8,$P$8,IF('Loonschijven_Tranches salariale'!$Q67&lt;Basisbedragen!$C$23,ROUND(ROUND(('Loonschijven_Tranches salariale'!$Q67*0.6),4)*$W$1,2)+ROUND(Basisbedragen!$C$56*$W$1,2),ROUND(ROUND((Basisbedragen!$C$23*0.6),4)*$W$1,2)+ROUND(Basisbedragen!$C$56*$W$1,2)))</f>
        <v>70.289999999999992</v>
      </c>
      <c r="Q68" s="59">
        <f t="shared" si="10"/>
        <v>70.289999999999992</v>
      </c>
      <c r="R68" s="59">
        <f t="shared" si="10"/>
        <v>70.289999999999992</v>
      </c>
      <c r="S68" s="59">
        <f t="shared" si="10"/>
        <v>70.289999999999992</v>
      </c>
      <c r="T68" s="59">
        <f t="shared" si="10"/>
        <v>70.289999999999992</v>
      </c>
      <c r="U68" s="43"/>
      <c r="V68" s="317">
        <f>M68+IF(P68-N68&lt;ROUND(Basisbedragen!$C$57*$W$1,2),P68-N68,ROUND(Basisbedragen!$C$57*$W$1,2))</f>
        <v>60.79999999999999</v>
      </c>
      <c r="W68" s="59">
        <f>N68+IF(P68-N68&lt;ROUND(Basisbedragen!$C$57*$W$1,2),P68-N68,ROUND(Basisbedragen!$C$57*$W$1,2))</f>
        <v>70.289999999999992</v>
      </c>
    </row>
    <row r="69" spans="1:23" ht="15" thickBot="1">
      <c r="A69" s="54">
        <f t="shared" si="6"/>
        <v>61</v>
      </c>
      <c r="C69" s="59">
        <f>IF(ROUND(ROUND(('Loonschijven_Tranches salariale'!$Q68*0.65),4)*$W$1,2)&lt;C$8,C$8,ROUND(ROUND(('Loonschijven_Tranches salariale'!$Q68*0.65),4)*$W$1,2))</f>
        <v>70.33</v>
      </c>
      <c r="D69" s="59">
        <f>IF(ROUND(ROUND(('Loonschijven_Tranches salariale'!$Q68*0.6),4)*$W$1,2)&lt;D$8,D$8,ROUND(ROUND(('Loonschijven_Tranches salariale'!$Q68*0.6),4)*$W$1,2))</f>
        <v>68.23</v>
      </c>
      <c r="E69" s="59">
        <f>IF(ROUND(ROUND(('Loonschijven_Tranches salariale'!$Q68*0.6),4)*$W$1,2)&lt;E$8,E$8,IF('Loonschijven_Tranches salariale'!$Q68&lt;Basisbedragen!$C$24,ROUND(ROUND(('Loonschijven_Tranches salariale'!$Q68*0.6),4)*$W$1,2),ROUND(ROUND((Basisbedragen!$C$24*0.6),4)*$W$1,2)))</f>
        <v>68.23</v>
      </c>
      <c r="F69" s="42"/>
      <c r="G69" s="59">
        <f>IF(ROUND(ROUND(('Loonschijven_Tranches salariale'!$Q68*0.6),4)*$W$1,2)&lt;G$8,G$8,IF('Loonschijven_Tranches salariale'!$Q68&lt;Basisbedragen!$C$23,ROUND(ROUND(('Loonschijven_Tranches salariale'!$Q68*0.6),4)*$W$1,2),ROUND(ROUND((Basisbedragen!$C$23*0.6),4)*$W$1,2)))</f>
        <v>68.23</v>
      </c>
      <c r="H69" s="59">
        <f t="shared" si="9"/>
        <v>68.23</v>
      </c>
      <c r="I69" s="59">
        <f t="shared" si="9"/>
        <v>68.23</v>
      </c>
      <c r="J69" s="59">
        <f t="shared" si="9"/>
        <v>68.23</v>
      </c>
      <c r="K69" s="59">
        <f t="shared" si="9"/>
        <v>68.23</v>
      </c>
      <c r="L69" s="42"/>
      <c r="M69" s="42">
        <f t="shared" si="7"/>
        <v>58.74</v>
      </c>
      <c r="N69" s="59">
        <f t="shared" si="8"/>
        <v>68.23</v>
      </c>
      <c r="O69" s="42"/>
      <c r="P69" s="59">
        <f>IF(ROUND(ROUND(('Loonschijven_Tranches salariale'!$Q68*0.6),4)*$W$1,2)+ROUND(Basisbedragen!$C$56*$W$1,2)&lt;$P$8,$P$8,IF('Loonschijven_Tranches salariale'!$Q68&lt;Basisbedragen!$C$23,ROUND(ROUND(('Loonschijven_Tranches salariale'!$Q68*0.6),4)*$W$1,2)+ROUND(Basisbedragen!$C$56*$W$1,2),ROUND(ROUND((Basisbedragen!$C$23*0.6),4)*$W$1,2)+ROUND(Basisbedragen!$C$56*$W$1,2)))</f>
        <v>71.08</v>
      </c>
      <c r="Q69" s="59">
        <f t="shared" si="10"/>
        <v>71.08</v>
      </c>
      <c r="R69" s="59">
        <f t="shared" si="10"/>
        <v>71.08</v>
      </c>
      <c r="S69" s="59">
        <f t="shared" si="10"/>
        <v>71.08</v>
      </c>
      <c r="T69" s="59">
        <f t="shared" si="10"/>
        <v>71.08</v>
      </c>
      <c r="U69" s="43"/>
      <c r="V69" s="317">
        <f>M69+IF(P69-N69&lt;ROUND(Basisbedragen!$C$57*$W$1,2),P69-N69,ROUND(Basisbedragen!$C$57*$W$1,2))</f>
        <v>61.589999999999996</v>
      </c>
      <c r="W69" s="59">
        <f>N69+IF(P69-N69&lt;ROUND(Basisbedragen!$C$57*$W$1,2),P69-N69,ROUND(Basisbedragen!$C$57*$W$1,2))</f>
        <v>71.08</v>
      </c>
    </row>
    <row r="70" spans="1:23" ht="15" thickBot="1">
      <c r="A70" s="54">
        <f t="shared" si="6"/>
        <v>62</v>
      </c>
      <c r="C70" s="59">
        <f>IF(ROUND(ROUND(('Loonschijven_Tranches salariale'!$Q69*0.65),4)*$W$1,2)&lt;C$8,C$8,ROUND(ROUND(('Loonschijven_Tranches salariale'!$Q69*0.65),4)*$W$1,2))</f>
        <v>71.3</v>
      </c>
      <c r="D70" s="59">
        <f>IF(ROUND(ROUND(('Loonschijven_Tranches salariale'!$Q69*0.6),4)*$W$1,2)&lt;D$8,D$8,ROUND(ROUND(('Loonschijven_Tranches salariale'!$Q69*0.6),4)*$W$1,2))</f>
        <v>68.23</v>
      </c>
      <c r="E70" s="59">
        <f>IF(ROUND(ROUND(('Loonschijven_Tranches salariale'!$Q69*0.6),4)*$W$1,2)&lt;E$8,E$8,IF('Loonschijven_Tranches salariale'!$Q69&lt;Basisbedragen!$C$24,ROUND(ROUND(('Loonschijven_Tranches salariale'!$Q69*0.6),4)*$W$1,2),ROUND(ROUND((Basisbedragen!$C$24*0.6),4)*$W$1,2)))</f>
        <v>68.23</v>
      </c>
      <c r="F70" s="42"/>
      <c r="G70" s="59">
        <f>IF(ROUND(ROUND(('Loonschijven_Tranches salariale'!$Q69*0.6),4)*$W$1,2)&lt;G$8,G$8,IF('Loonschijven_Tranches salariale'!$Q69&lt;Basisbedragen!$C$23,ROUND(ROUND(('Loonschijven_Tranches salariale'!$Q69*0.6),4)*$W$1,2),ROUND(ROUND((Basisbedragen!$C$23*0.6),4)*$W$1,2)))</f>
        <v>68.23</v>
      </c>
      <c r="H70" s="59">
        <f t="shared" si="9"/>
        <v>68.23</v>
      </c>
      <c r="I70" s="59">
        <f t="shared" si="9"/>
        <v>68.23</v>
      </c>
      <c r="J70" s="59">
        <f t="shared" si="9"/>
        <v>68.23</v>
      </c>
      <c r="K70" s="59">
        <f t="shared" si="9"/>
        <v>68.23</v>
      </c>
      <c r="L70" s="42"/>
      <c r="M70" s="42">
        <f t="shared" si="7"/>
        <v>58.74</v>
      </c>
      <c r="N70" s="59">
        <f t="shared" si="8"/>
        <v>68.23</v>
      </c>
      <c r="O70" s="42"/>
      <c r="P70" s="59">
        <f>IF(ROUND(ROUND(('Loonschijven_Tranches salariale'!$Q69*0.6),4)*$W$1,2)+ROUND(Basisbedragen!$C$56*$W$1,2)&lt;$P$8,$P$8,IF('Loonschijven_Tranches salariale'!$Q69&lt;Basisbedragen!$C$23,ROUND(ROUND(('Loonschijven_Tranches salariale'!$Q69*0.6),4)*$W$1,2)+ROUND(Basisbedragen!$C$56*$W$1,2),ROUND(ROUND((Basisbedragen!$C$23*0.6),4)*$W$1,2)+ROUND(Basisbedragen!$C$56*$W$1,2)))</f>
        <v>71.97999999999999</v>
      </c>
      <c r="Q70" s="59">
        <f t="shared" si="10"/>
        <v>71.97999999999999</v>
      </c>
      <c r="R70" s="59">
        <f t="shared" si="10"/>
        <v>71.97999999999999</v>
      </c>
      <c r="S70" s="59">
        <f t="shared" si="10"/>
        <v>71.97999999999999</v>
      </c>
      <c r="T70" s="59">
        <f t="shared" si="10"/>
        <v>71.97999999999999</v>
      </c>
      <c r="U70" s="43"/>
      <c r="V70" s="317">
        <f>M70+IF(P70-N70&lt;ROUND(Basisbedragen!$C$57*$W$1,2),P70-N70,ROUND(Basisbedragen!$C$57*$W$1,2))</f>
        <v>62.489999999999988</v>
      </c>
      <c r="W70" s="59">
        <f>N70+IF(P70-N70&lt;ROUND(Basisbedragen!$C$57*$W$1,2),P70-N70,ROUND(Basisbedragen!$C$57*$W$1,2))</f>
        <v>71.97999999999999</v>
      </c>
    </row>
    <row r="71" spans="1:23" ht="15" thickBot="1">
      <c r="A71" s="54">
        <f t="shared" si="6"/>
        <v>63</v>
      </c>
      <c r="C71" s="59">
        <f>IF(ROUND(ROUND(('Loonschijven_Tranches salariale'!$Q70*0.65),4)*$W$1,2)&lt;C$8,C$8,ROUND(ROUND(('Loonschijven_Tranches salariale'!$Q70*0.65),4)*$W$1,2))</f>
        <v>72.28</v>
      </c>
      <c r="D71" s="59">
        <f>IF(ROUND(ROUND(('Loonschijven_Tranches salariale'!$Q70*0.6),4)*$W$1,2)&lt;D$8,D$8,ROUND(ROUND(('Loonschijven_Tranches salariale'!$Q70*0.6),4)*$W$1,2))</f>
        <v>68.23</v>
      </c>
      <c r="E71" s="59">
        <f>IF(ROUND(ROUND(('Loonschijven_Tranches salariale'!$Q70*0.6),4)*$W$1,2)&lt;E$8,E$8,IF('Loonschijven_Tranches salariale'!$Q70&lt;Basisbedragen!$C$24,ROUND(ROUND(('Loonschijven_Tranches salariale'!$Q70*0.6),4)*$W$1,2),ROUND(ROUND((Basisbedragen!$C$24*0.6),4)*$W$1,2)))</f>
        <v>68.23</v>
      </c>
      <c r="F71" s="42"/>
      <c r="G71" s="59">
        <f>IF(ROUND(ROUND(('Loonschijven_Tranches salariale'!$Q70*0.6),4)*$W$1,2)&lt;G$8,G$8,IF('Loonschijven_Tranches salariale'!$Q70&lt;Basisbedragen!$C$23,ROUND(ROUND(('Loonschijven_Tranches salariale'!$Q70*0.6),4)*$W$1,2),ROUND(ROUND((Basisbedragen!$C$23*0.6),4)*$W$1,2)))</f>
        <v>68.23</v>
      </c>
      <c r="H71" s="59">
        <f t="shared" si="9"/>
        <v>68.23</v>
      </c>
      <c r="I71" s="59">
        <f t="shared" si="9"/>
        <v>68.23</v>
      </c>
      <c r="J71" s="59">
        <f t="shared" si="9"/>
        <v>68.23</v>
      </c>
      <c r="K71" s="59">
        <f t="shared" si="9"/>
        <v>68.23</v>
      </c>
      <c r="L71" s="42"/>
      <c r="M71" s="42">
        <f t="shared" si="7"/>
        <v>58.74</v>
      </c>
      <c r="N71" s="59">
        <f t="shared" si="8"/>
        <v>68.23</v>
      </c>
      <c r="O71" s="42"/>
      <c r="P71" s="59">
        <f>IF(ROUND(ROUND(('Loonschijven_Tranches salariale'!$Q70*0.6),4)*$W$1,2)+ROUND(Basisbedragen!$C$56*$W$1,2)&lt;$P$8,$P$8,IF('Loonschijven_Tranches salariale'!$Q70&lt;Basisbedragen!$C$23,ROUND(ROUND(('Loonschijven_Tranches salariale'!$Q70*0.6),4)*$W$1,2)+ROUND(Basisbedragen!$C$56*$W$1,2),ROUND(ROUND((Basisbedragen!$C$23*0.6),4)*$W$1,2)+ROUND(Basisbedragen!$C$56*$W$1,2)))</f>
        <v>72.88</v>
      </c>
      <c r="Q71" s="59">
        <f t="shared" si="10"/>
        <v>72.88</v>
      </c>
      <c r="R71" s="59">
        <f t="shared" si="10"/>
        <v>72.88</v>
      </c>
      <c r="S71" s="59">
        <f t="shared" si="10"/>
        <v>72.88</v>
      </c>
      <c r="T71" s="59">
        <f t="shared" si="10"/>
        <v>72.88</v>
      </c>
      <c r="U71" s="43"/>
      <c r="V71" s="317">
        <f>M71+IF(P71-N71&lt;ROUND(Basisbedragen!$C$57*$W$1,2),P71-N71,ROUND(Basisbedragen!$C$57*$W$1,2))</f>
        <v>63.389999999999993</v>
      </c>
      <c r="W71" s="59">
        <f>N71+IF(P71-N71&lt;ROUND(Basisbedragen!$C$57*$W$1,2),P71-N71,ROUND(Basisbedragen!$C$57*$W$1,2))</f>
        <v>72.88</v>
      </c>
    </row>
    <row r="72" spans="1:23" ht="15" thickBot="1">
      <c r="A72" s="54">
        <f t="shared" si="6"/>
        <v>64</v>
      </c>
      <c r="C72" s="59">
        <f>IF(ROUND(ROUND(('Loonschijven_Tranches salariale'!$Q71*0.65),4)*$W$1,2)&lt;C$8,C$8,ROUND(ROUND(('Loonschijven_Tranches salariale'!$Q71*0.65),4)*$W$1,2))</f>
        <v>73.430000000000007</v>
      </c>
      <c r="D72" s="59">
        <f>IF(ROUND(ROUND(('Loonschijven_Tranches salariale'!$Q71*0.6),4)*$W$1,2)&lt;D$8,D$8,ROUND(ROUND(('Loonschijven_Tranches salariale'!$Q71*0.6),4)*$W$1,2))</f>
        <v>68.23</v>
      </c>
      <c r="E72" s="59">
        <f>IF(ROUND(ROUND(('Loonschijven_Tranches salariale'!$Q71*0.6),4)*$W$1,2)&lt;E$8,E$8,IF('Loonschijven_Tranches salariale'!$Q71&lt;Basisbedragen!$C$24,ROUND(ROUND(('Loonschijven_Tranches salariale'!$Q71*0.6),4)*$W$1,2),ROUND(ROUND((Basisbedragen!$C$24*0.6),4)*$W$1,2)))</f>
        <v>68.23</v>
      </c>
      <c r="F72" s="42"/>
      <c r="G72" s="59">
        <f>IF(ROUND(ROUND(('Loonschijven_Tranches salariale'!$Q71*0.6),4)*$W$1,2)&lt;G$8,G$8,IF('Loonschijven_Tranches salariale'!$Q71&lt;Basisbedragen!$C$23,ROUND(ROUND(('Loonschijven_Tranches salariale'!$Q71*0.6),4)*$W$1,2),ROUND(ROUND((Basisbedragen!$C$23*0.6),4)*$W$1,2)))</f>
        <v>68.23</v>
      </c>
      <c r="H72" s="59">
        <f t="shared" si="9"/>
        <v>68.23</v>
      </c>
      <c r="I72" s="59">
        <f t="shared" si="9"/>
        <v>68.23</v>
      </c>
      <c r="J72" s="59">
        <f t="shared" si="9"/>
        <v>68.23</v>
      </c>
      <c r="K72" s="59">
        <f t="shared" si="9"/>
        <v>68.23</v>
      </c>
      <c r="L72" s="42"/>
      <c r="M72" s="42">
        <f t="shared" si="7"/>
        <v>58.74</v>
      </c>
      <c r="N72" s="59">
        <f t="shared" si="8"/>
        <v>68.23</v>
      </c>
      <c r="O72" s="42"/>
      <c r="P72" s="59">
        <f>IF(ROUND(ROUND(('Loonschijven_Tranches salariale'!$Q71*0.6),4)*$W$1,2)+ROUND(Basisbedragen!$C$56*$W$1,2)&lt;$P$8,$P$8,IF('Loonschijven_Tranches salariale'!$Q71&lt;Basisbedragen!$C$23,ROUND(ROUND(('Loonschijven_Tranches salariale'!$Q71*0.6),4)*$W$1,2)+ROUND(Basisbedragen!$C$56*$W$1,2),ROUND(ROUND((Basisbedragen!$C$23*0.6),4)*$W$1,2)+ROUND(Basisbedragen!$C$56*$W$1,2)))</f>
        <v>73.94</v>
      </c>
      <c r="Q72" s="59">
        <f t="shared" si="10"/>
        <v>73.17</v>
      </c>
      <c r="R72" s="59">
        <f t="shared" si="10"/>
        <v>73.17</v>
      </c>
      <c r="S72" s="59">
        <f t="shared" si="10"/>
        <v>73.17</v>
      </c>
      <c r="T72" s="59">
        <f t="shared" si="10"/>
        <v>73.17</v>
      </c>
      <c r="U72" s="43"/>
      <c r="V72" s="317">
        <f>M72+IF(P72-N72&lt;ROUND(Basisbedragen!$C$57*$W$1,2),P72-N72,ROUND(Basisbedragen!$C$57*$W$1,2))</f>
        <v>63.68</v>
      </c>
      <c r="W72" s="59">
        <f>N72+IF(P72-N72&lt;ROUND(Basisbedragen!$C$57*$W$1,2),P72-N72,ROUND(Basisbedragen!$C$57*$W$1,2))</f>
        <v>73.17</v>
      </c>
    </row>
    <row r="73" spans="1:23" ht="15" thickBot="1">
      <c r="A73" s="54">
        <f t="shared" si="6"/>
        <v>65</v>
      </c>
      <c r="C73" s="59">
        <f>IF(ROUND(ROUND(('Loonschijven_Tranches salariale'!$Q72*0.65),4)*$W$1,2)&lt;C$8,C$8,ROUND(ROUND(('Loonschijven_Tranches salariale'!$Q72*0.65),4)*$W$1,2))</f>
        <v>74.34</v>
      </c>
      <c r="D73" s="59">
        <f>IF(ROUND(ROUND(('Loonschijven_Tranches salariale'!$Q72*0.6),4)*$W$1,2)&lt;D$8,D$8,ROUND(ROUND(('Loonschijven_Tranches salariale'!$Q72*0.6),4)*$W$1,2))</f>
        <v>68.63</v>
      </c>
      <c r="E73" s="59">
        <f>IF(ROUND(ROUND(('Loonschijven_Tranches salariale'!$Q72*0.6),4)*$W$1,2)&lt;E$8,E$8,IF('Loonschijven_Tranches salariale'!$Q72&lt;Basisbedragen!$C$24,ROUND(ROUND(('Loonschijven_Tranches salariale'!$Q72*0.6),4)*$W$1,2),ROUND(ROUND((Basisbedragen!$C$24*0.6),4)*$W$1,2)))</f>
        <v>68.63</v>
      </c>
      <c r="F73" s="42"/>
      <c r="G73" s="59">
        <f>IF(ROUND(ROUND(('Loonschijven_Tranches salariale'!$Q72*0.6),4)*$W$1,2)&lt;G$8,G$8,IF('Loonschijven_Tranches salariale'!$Q72&lt;Basisbedragen!$C$23,ROUND(ROUND(('Loonschijven_Tranches salariale'!$Q72*0.6),4)*$W$1,2),ROUND(ROUND((Basisbedragen!$C$23*0.6),4)*$W$1,2)))</f>
        <v>68.63</v>
      </c>
      <c r="H73" s="59">
        <f t="shared" si="9"/>
        <v>68.23</v>
      </c>
      <c r="I73" s="59">
        <f t="shared" si="9"/>
        <v>68.23</v>
      </c>
      <c r="J73" s="59">
        <f t="shared" si="9"/>
        <v>68.23</v>
      </c>
      <c r="K73" s="59">
        <f t="shared" si="9"/>
        <v>68.23</v>
      </c>
      <c r="L73" s="42"/>
      <c r="M73" s="42">
        <f t="shared" si="7"/>
        <v>58.74</v>
      </c>
      <c r="N73" s="59">
        <f t="shared" si="8"/>
        <v>68.23</v>
      </c>
      <c r="O73" s="42"/>
      <c r="P73" s="59">
        <f>IF(ROUND(ROUND(('Loonschijven_Tranches salariale'!$Q72*0.6),4)*$W$1,2)+ROUND(Basisbedragen!$C$56*$W$1,2)&lt;$P$8,$P$8,IF('Loonschijven_Tranches salariale'!$Q72&lt;Basisbedragen!$C$23,ROUND(ROUND(('Loonschijven_Tranches salariale'!$Q72*0.6),4)*$W$1,2)+ROUND(Basisbedragen!$C$56*$W$1,2),ROUND(ROUND((Basisbedragen!$C$23*0.6),4)*$W$1,2)+ROUND(Basisbedragen!$C$56*$W$1,2)))</f>
        <v>74.789999999999992</v>
      </c>
      <c r="Q73" s="59">
        <f t="shared" si="10"/>
        <v>73.17</v>
      </c>
      <c r="R73" s="59">
        <f t="shared" si="10"/>
        <v>73.17</v>
      </c>
      <c r="S73" s="59">
        <f t="shared" si="10"/>
        <v>73.17</v>
      </c>
      <c r="T73" s="59">
        <f t="shared" si="10"/>
        <v>73.17</v>
      </c>
      <c r="U73" s="43"/>
      <c r="V73" s="317">
        <f>M73+IF(P73-N73&lt;ROUND(Basisbedragen!$C$57*$W$1,2),P73-N73,ROUND(Basisbedragen!$C$57*$W$1,2))</f>
        <v>63.68</v>
      </c>
      <c r="W73" s="59">
        <f>N73+IF(P73-N73&lt;ROUND(Basisbedragen!$C$57*$W$1,2),P73-N73,ROUND(Basisbedragen!$C$57*$W$1,2))</f>
        <v>73.17</v>
      </c>
    </row>
    <row r="74" spans="1:23" ht="15" thickBot="1">
      <c r="A74" s="54">
        <f t="shared" si="6"/>
        <v>66</v>
      </c>
      <c r="C74" s="59">
        <f>IF(ROUND(ROUND(('Loonschijven_Tranches salariale'!$Q73*0.65),4)*$W$1,2)&lt;C$8,C$8,ROUND(ROUND(('Loonschijven_Tranches salariale'!$Q73*0.65),4)*$W$1,2))</f>
        <v>75.209999999999994</v>
      </c>
      <c r="D74" s="59">
        <f>IF(ROUND(ROUND(('Loonschijven_Tranches salariale'!$Q73*0.6),4)*$W$1,2)&lt;D$8,D$8,ROUND(ROUND(('Loonschijven_Tranches salariale'!$Q73*0.6),4)*$W$1,2))</f>
        <v>69.430000000000007</v>
      </c>
      <c r="E74" s="59">
        <f>IF(ROUND(ROUND(('Loonschijven_Tranches salariale'!$Q73*0.6),4)*$W$1,2)&lt;E$8,E$8,IF('Loonschijven_Tranches salariale'!$Q73&lt;Basisbedragen!$C$24,ROUND(ROUND(('Loonschijven_Tranches salariale'!$Q73*0.6),4)*$W$1,2),ROUND(ROUND((Basisbedragen!$C$24*0.6),4)*$W$1,2)))</f>
        <v>69.430000000000007</v>
      </c>
      <c r="F74" s="42"/>
      <c r="G74" s="59">
        <f>IF(ROUND(ROUND(('Loonschijven_Tranches salariale'!$Q73*0.6),4)*$W$1,2)&lt;G$8,G$8,IF('Loonschijven_Tranches salariale'!$Q73&lt;Basisbedragen!$C$23,ROUND(ROUND(('Loonschijven_Tranches salariale'!$Q73*0.6),4)*$W$1,2),ROUND(ROUND((Basisbedragen!$C$23*0.6),4)*$W$1,2)))</f>
        <v>68.989999999999995</v>
      </c>
      <c r="H74" s="59">
        <f t="shared" si="9"/>
        <v>68.23</v>
      </c>
      <c r="I74" s="59">
        <f t="shared" si="9"/>
        <v>68.23</v>
      </c>
      <c r="J74" s="59">
        <f t="shared" si="9"/>
        <v>68.23</v>
      </c>
      <c r="K74" s="59">
        <f t="shared" si="9"/>
        <v>68.23</v>
      </c>
      <c r="L74" s="42"/>
      <c r="M74" s="42">
        <f t="shared" si="7"/>
        <v>58.74</v>
      </c>
      <c r="N74" s="59">
        <f t="shared" si="8"/>
        <v>68.23</v>
      </c>
      <c r="O74" s="42"/>
      <c r="P74" s="59">
        <f>IF(ROUND(ROUND(('Loonschijven_Tranches salariale'!$Q73*0.6),4)*$W$1,2)+ROUND(Basisbedragen!$C$56*$W$1,2)&lt;$P$8,$P$8,IF('Loonschijven_Tranches salariale'!$Q73&lt;Basisbedragen!$C$23,ROUND(ROUND(('Loonschijven_Tranches salariale'!$Q73*0.6),4)*$W$1,2)+ROUND(Basisbedragen!$C$56*$W$1,2),ROUND(ROUND((Basisbedragen!$C$23*0.6),4)*$W$1,2)+ROUND(Basisbedragen!$C$56*$W$1,2)))</f>
        <v>75.149999999999991</v>
      </c>
      <c r="Q74" s="59">
        <f t="shared" si="10"/>
        <v>73.17</v>
      </c>
      <c r="R74" s="59">
        <f t="shared" si="10"/>
        <v>73.17</v>
      </c>
      <c r="S74" s="59">
        <f t="shared" si="10"/>
        <v>73.17</v>
      </c>
      <c r="T74" s="59">
        <f t="shared" si="10"/>
        <v>73.17</v>
      </c>
      <c r="U74" s="43"/>
      <c r="V74" s="317">
        <f>M74+IF(P74-N74&lt;ROUND(Basisbedragen!$C$57*$W$1,2),P74-N74,ROUND(Basisbedragen!$C$57*$W$1,2))</f>
        <v>63.68</v>
      </c>
      <c r="W74" s="59">
        <f>N74+IF(P74-N74&lt;ROUND(Basisbedragen!$C$57*$W$1,2),P74-N74,ROUND(Basisbedragen!$C$57*$W$1,2))</f>
        <v>73.17</v>
      </c>
    </row>
    <row r="75" spans="1:23" ht="15" thickBot="1">
      <c r="A75" s="54">
        <f t="shared" ref="A75:A81" si="11">A74+1</f>
        <v>67</v>
      </c>
      <c r="C75" s="59">
        <f>IF(ROUND(ROUND(('Loonschijven_Tranches salariale'!$Q74*0.65),4)*$W$1,2)&lt;C$8,C$8,ROUND(ROUND(('Loonschijven_Tranches salariale'!$Q74*0.65),4)*$W$1,2))</f>
        <v>76.19</v>
      </c>
      <c r="D75" s="59">
        <f>IF(ROUND(ROUND(('Loonschijven_Tranches salariale'!$Q74*0.6),4)*$W$1,2)&lt;D$8,D$8,ROUND(ROUND(('Loonschijven_Tranches salariale'!$Q74*0.6),4)*$W$1,2))</f>
        <v>70.33</v>
      </c>
      <c r="E75" s="59">
        <f>IF(ROUND(ROUND(('Loonschijven_Tranches salariale'!$Q74*0.6),4)*$W$1,2)&lt;E$8,E$8,IF('Loonschijven_Tranches salariale'!$Q74&lt;Basisbedragen!$C$24,ROUND(ROUND(('Loonschijven_Tranches salariale'!$Q74*0.6),4)*$W$1,2),ROUND(ROUND((Basisbedragen!$C$24*0.6),4)*$W$1,2)))</f>
        <v>70.33</v>
      </c>
      <c r="F75" s="42"/>
      <c r="G75" s="59">
        <f>IF(ROUND(ROUND(('Loonschijven_Tranches salariale'!$Q74*0.6),4)*$W$1,2)&lt;G$8,G$8,IF('Loonschijven_Tranches salariale'!$Q74&lt;Basisbedragen!$C$23,ROUND(ROUND(('Loonschijven_Tranches salariale'!$Q74*0.6),4)*$W$1,2),ROUND(ROUND((Basisbedragen!$C$23*0.6),4)*$W$1,2)))</f>
        <v>68.989999999999995</v>
      </c>
      <c r="H75" s="59">
        <f t="shared" si="9"/>
        <v>68.23</v>
      </c>
      <c r="I75" s="59">
        <f t="shared" si="9"/>
        <v>68.23</v>
      </c>
      <c r="J75" s="59">
        <f t="shared" si="9"/>
        <v>68.23</v>
      </c>
      <c r="K75" s="59">
        <f t="shared" si="9"/>
        <v>68.23</v>
      </c>
      <c r="L75" s="42"/>
      <c r="M75" s="42">
        <f t="shared" ref="M75:M87" si="12">$M$9</f>
        <v>58.74</v>
      </c>
      <c r="N75" s="59">
        <f t="shared" si="8"/>
        <v>68.23</v>
      </c>
      <c r="O75" s="42"/>
      <c r="P75" s="59">
        <f>IF(ROUND(ROUND(('Loonschijven_Tranches salariale'!$Q74*0.6),4)*$W$1,2)+ROUND(Basisbedragen!$C$56*$W$1,2)&lt;$P$8,$P$8,IF('Loonschijven_Tranches salariale'!$Q74&lt;Basisbedragen!$C$23,ROUND(ROUND(('Loonschijven_Tranches salariale'!$Q74*0.6),4)*$W$1,2)+ROUND(Basisbedragen!$C$56*$W$1,2),ROUND(ROUND((Basisbedragen!$C$23*0.6),4)*$W$1,2)+ROUND(Basisbedragen!$C$56*$W$1,2)))</f>
        <v>75.149999999999991</v>
      </c>
      <c r="Q75" s="59">
        <f t="shared" si="10"/>
        <v>73.17</v>
      </c>
      <c r="R75" s="59">
        <f t="shared" si="10"/>
        <v>73.17</v>
      </c>
      <c r="S75" s="59">
        <f t="shared" si="10"/>
        <v>73.17</v>
      </c>
      <c r="T75" s="59">
        <f t="shared" si="10"/>
        <v>73.17</v>
      </c>
      <c r="U75" s="43"/>
      <c r="V75" s="317">
        <f>M75+IF(P75-N75&lt;ROUND(Basisbedragen!$C$57*$W$1,2),P75-N75,ROUND(Basisbedragen!$C$57*$W$1,2))</f>
        <v>63.68</v>
      </c>
      <c r="W75" s="59">
        <f>N75+IF(P75-N75&lt;ROUND(Basisbedragen!$C$57*$W$1,2),P75-N75,ROUND(Basisbedragen!$C$57*$W$1,2))</f>
        <v>73.17</v>
      </c>
    </row>
    <row r="76" spans="1:23" ht="15" thickBot="1">
      <c r="A76" s="54">
        <f t="shared" si="11"/>
        <v>68</v>
      </c>
      <c r="C76" s="59">
        <f>IF(ROUND(ROUND(('Loonschijven_Tranches salariale'!$Q75*0.65),4)*$W$1,2)&lt;C$8,C$8,ROUND(ROUND(('Loonschijven_Tranches salariale'!$Q75*0.65),4)*$W$1,2))</f>
        <v>77.16</v>
      </c>
      <c r="D76" s="59">
        <f>IF(ROUND(ROUND(('Loonschijven_Tranches salariale'!$Q75*0.6),4)*$W$1,2)&lt;D$8,D$8,ROUND(ROUND(('Loonschijven_Tranches salariale'!$Q75*0.6),4)*$W$1,2))</f>
        <v>71.23</v>
      </c>
      <c r="E76" s="59">
        <f>IF(ROUND(ROUND(('Loonschijven_Tranches salariale'!$Q75*0.6),4)*$W$1,2)&lt;E$8,E$8,IF('Loonschijven_Tranches salariale'!$Q75&lt;Basisbedragen!$C$24,ROUND(ROUND(('Loonschijven_Tranches salariale'!$Q75*0.6),4)*$W$1,2),ROUND(ROUND((Basisbedragen!$C$24*0.6),4)*$W$1,2)))</f>
        <v>71.23</v>
      </c>
      <c r="F76" s="42"/>
      <c r="G76" s="59">
        <f>IF(ROUND(ROUND(('Loonschijven_Tranches salariale'!$Q75*0.6),4)*$W$1,2)&lt;G$8,G$8,IF('Loonschijven_Tranches salariale'!$Q75&lt;Basisbedragen!$C$23,ROUND(ROUND(('Loonschijven_Tranches salariale'!$Q75*0.6),4)*$W$1,2),ROUND(ROUND((Basisbedragen!$C$23*0.6),4)*$W$1,2)))</f>
        <v>68.989999999999995</v>
      </c>
      <c r="H76" s="59">
        <f t="shared" si="9"/>
        <v>68.23</v>
      </c>
      <c r="I76" s="59">
        <f t="shared" si="9"/>
        <v>68.23</v>
      </c>
      <c r="J76" s="59">
        <f t="shared" si="9"/>
        <v>68.23</v>
      </c>
      <c r="K76" s="59">
        <f t="shared" si="9"/>
        <v>68.23</v>
      </c>
      <c r="L76" s="42"/>
      <c r="M76" s="42">
        <f t="shared" si="12"/>
        <v>58.74</v>
      </c>
      <c r="N76" s="59">
        <f t="shared" si="8"/>
        <v>68.23</v>
      </c>
      <c r="O76" s="42"/>
      <c r="P76" s="59">
        <f>IF(ROUND(ROUND(('Loonschijven_Tranches salariale'!$Q75*0.6),4)*$W$1,2)+ROUND(Basisbedragen!$C$56*$W$1,2)&lt;$P$8,$P$8,IF('Loonschijven_Tranches salariale'!$Q75&lt;Basisbedragen!$C$23,ROUND(ROUND(('Loonschijven_Tranches salariale'!$Q75*0.6),4)*$W$1,2)+ROUND(Basisbedragen!$C$56*$W$1,2),ROUND(ROUND((Basisbedragen!$C$23*0.6),4)*$W$1,2)+ROUND(Basisbedragen!$C$56*$W$1,2)))</f>
        <v>75.149999999999991</v>
      </c>
      <c r="Q76" s="59">
        <f t="shared" si="10"/>
        <v>73.17</v>
      </c>
      <c r="R76" s="59">
        <f t="shared" si="10"/>
        <v>73.17</v>
      </c>
      <c r="S76" s="59">
        <f t="shared" si="10"/>
        <v>73.17</v>
      </c>
      <c r="T76" s="59">
        <f t="shared" si="10"/>
        <v>73.17</v>
      </c>
      <c r="U76" s="43"/>
      <c r="V76" s="317">
        <f>M76+IF(P76-N76&lt;ROUND(Basisbedragen!$C$57*$W$1,2),P76-N76,ROUND(Basisbedragen!$C$57*$W$1,2))</f>
        <v>63.68</v>
      </c>
      <c r="W76" s="59">
        <f>N76+IF(P76-N76&lt;ROUND(Basisbedragen!$C$57*$W$1,2),P76-N76,ROUND(Basisbedragen!$C$57*$W$1,2))</f>
        <v>73.17</v>
      </c>
    </row>
    <row r="77" spans="1:23" ht="15" thickBot="1">
      <c r="A77" s="54">
        <f t="shared" si="11"/>
        <v>69</v>
      </c>
      <c r="C77" s="59">
        <f>IF(ROUND(ROUND(('Loonschijven_Tranches salariale'!$Q76*0.65),4)*$W$1,2)&lt;C$8,C$8,ROUND(ROUND(('Loonschijven_Tranches salariale'!$Q76*0.65),4)*$W$1,2))</f>
        <v>78.14</v>
      </c>
      <c r="D77" s="59">
        <f>IF(ROUND(ROUND(('Loonschijven_Tranches salariale'!$Q76*0.6),4)*$W$1,2)&lt;D$8,D$8,ROUND(ROUND(('Loonschijven_Tranches salariale'!$Q76*0.6),4)*$W$1,2))</f>
        <v>72.13</v>
      </c>
      <c r="E77" s="59">
        <f>IF(ROUND(ROUND(('Loonschijven_Tranches salariale'!$Q76*0.6),4)*$W$1,2)&lt;E$8,E$8,IF('Loonschijven_Tranches salariale'!$Q76&lt;Basisbedragen!$C$24,ROUND(ROUND(('Loonschijven_Tranches salariale'!$Q76*0.6),4)*$W$1,2),ROUND(ROUND((Basisbedragen!$C$24*0.6),4)*$W$1,2)))</f>
        <v>72.13</v>
      </c>
      <c r="F77" s="42"/>
      <c r="G77" s="59">
        <f>IF(ROUND(ROUND(('Loonschijven_Tranches salariale'!$Q76*0.6),4)*$W$1,2)&lt;G$8,G$8,IF('Loonschijven_Tranches salariale'!$Q76&lt;Basisbedragen!$C$23,ROUND(ROUND(('Loonschijven_Tranches salariale'!$Q76*0.6),4)*$W$1,2),ROUND(ROUND((Basisbedragen!$C$23*0.6),4)*$W$1,2)))</f>
        <v>68.989999999999995</v>
      </c>
      <c r="H77" s="59">
        <f t="shared" si="9"/>
        <v>68.23</v>
      </c>
      <c r="I77" s="59">
        <f t="shared" si="9"/>
        <v>68.23</v>
      </c>
      <c r="J77" s="59">
        <f t="shared" si="9"/>
        <v>68.23</v>
      </c>
      <c r="K77" s="59">
        <f t="shared" si="9"/>
        <v>68.23</v>
      </c>
      <c r="L77" s="42"/>
      <c r="M77" s="42">
        <f t="shared" si="12"/>
        <v>58.74</v>
      </c>
      <c r="N77" s="59">
        <f t="shared" si="8"/>
        <v>68.23</v>
      </c>
      <c r="O77" s="42"/>
      <c r="P77" s="59">
        <f>IF(ROUND(ROUND(('Loonschijven_Tranches salariale'!$Q76*0.6),4)*$W$1,2)+ROUND(Basisbedragen!$C$56*$W$1,2)&lt;$P$8,$P$8,IF('Loonschijven_Tranches salariale'!$Q76&lt;Basisbedragen!$C$23,ROUND(ROUND(('Loonschijven_Tranches salariale'!$Q76*0.6),4)*$W$1,2)+ROUND(Basisbedragen!$C$56*$W$1,2),ROUND(ROUND((Basisbedragen!$C$23*0.6),4)*$W$1,2)+ROUND(Basisbedragen!$C$56*$W$1,2)))</f>
        <v>75.149999999999991</v>
      </c>
      <c r="Q77" s="59">
        <f t="shared" si="10"/>
        <v>73.17</v>
      </c>
      <c r="R77" s="59">
        <f t="shared" si="10"/>
        <v>73.17</v>
      </c>
      <c r="S77" s="59">
        <f t="shared" si="10"/>
        <v>73.17</v>
      </c>
      <c r="T77" s="59">
        <f t="shared" si="10"/>
        <v>73.17</v>
      </c>
      <c r="U77" s="43"/>
      <c r="V77" s="317">
        <f>M77+IF(P77-N77&lt;ROUND(Basisbedragen!$C$57*$W$1,2),P77-N77,ROUND(Basisbedragen!$C$57*$W$1,2))</f>
        <v>63.68</v>
      </c>
      <c r="W77" s="59">
        <f>N77+IF(P77-N77&lt;ROUND(Basisbedragen!$C$57*$W$1,2),P77-N77,ROUND(Basisbedragen!$C$57*$W$1,2))</f>
        <v>73.17</v>
      </c>
    </row>
    <row r="78" spans="1:23" ht="15" thickBot="1">
      <c r="A78" s="54">
        <f t="shared" si="11"/>
        <v>70</v>
      </c>
      <c r="C78" s="59">
        <f>IF(ROUND(ROUND(('Loonschijven_Tranches salariale'!$Q77*0.65),4)*$W$1,2)&lt;C$8,C$8,ROUND(ROUND(('Loonschijven_Tranches salariale'!$Q77*0.65),4)*$W$1,2))</f>
        <v>78.78</v>
      </c>
      <c r="D78" s="59">
        <f>IF(ROUND(ROUND(('Loonschijven_Tranches salariale'!$Q77*0.6),4)*$W$1,2)&lt;D$8,D$8,ROUND(ROUND(('Loonschijven_Tranches salariale'!$Q77*0.6),4)*$W$1,2))</f>
        <v>72.72</v>
      </c>
      <c r="E78" s="59">
        <f>IF(ROUND(ROUND(('Loonschijven_Tranches salariale'!$Q77*0.6),4)*$W$1,2)&lt;E$8,E$8,IF('Loonschijven_Tranches salariale'!$Q77&lt;Basisbedragen!$C$24,ROUND(ROUND(('Loonschijven_Tranches salariale'!$Q77*0.6),4)*$W$1,2),ROUND(ROUND((Basisbedragen!$C$24*0.6),4)*$W$1,2)))</f>
        <v>72.72</v>
      </c>
      <c r="F78" s="42"/>
      <c r="G78" s="59">
        <f>IF(ROUND(ROUND(('Loonschijven_Tranches salariale'!$Q77*0.6),4)*$W$1,2)&lt;G$8,G$8,IF('Loonschijven_Tranches salariale'!$Q77&lt;Basisbedragen!$C$23,ROUND(ROUND(('Loonschijven_Tranches salariale'!$Q77*0.6),4)*$W$1,2),ROUND(ROUND((Basisbedragen!$C$23*0.6),4)*$W$1,2)))</f>
        <v>68.989999999999995</v>
      </c>
      <c r="H78" s="59">
        <f t="shared" si="9"/>
        <v>68.23</v>
      </c>
      <c r="I78" s="59">
        <f t="shared" si="9"/>
        <v>68.23</v>
      </c>
      <c r="J78" s="59">
        <f t="shared" si="9"/>
        <v>68.23</v>
      </c>
      <c r="K78" s="59">
        <f t="shared" si="9"/>
        <v>68.23</v>
      </c>
      <c r="L78" s="42"/>
      <c r="M78" s="42">
        <f t="shared" si="12"/>
        <v>58.74</v>
      </c>
      <c r="N78" s="59">
        <f t="shared" si="8"/>
        <v>68.23</v>
      </c>
      <c r="O78" s="42"/>
      <c r="P78" s="59">
        <f>IF(ROUND(ROUND(('Loonschijven_Tranches salariale'!$Q77*0.6),4)*$W$1,2)+ROUND(Basisbedragen!$C$56*$W$1,2)&lt;$P$8,$P$8,IF('Loonschijven_Tranches salariale'!$Q77&lt;Basisbedragen!$C$23,ROUND(ROUND(('Loonschijven_Tranches salariale'!$Q77*0.6),4)*$W$1,2)+ROUND(Basisbedragen!$C$56*$W$1,2),ROUND(ROUND((Basisbedragen!$C$23*0.6),4)*$W$1,2)+ROUND(Basisbedragen!$C$56*$W$1,2)))</f>
        <v>75.149999999999991</v>
      </c>
      <c r="Q78" s="59">
        <f t="shared" si="10"/>
        <v>73.17</v>
      </c>
      <c r="R78" s="59">
        <f t="shared" si="10"/>
        <v>73.17</v>
      </c>
      <c r="S78" s="59">
        <f t="shared" si="10"/>
        <v>73.17</v>
      </c>
      <c r="T78" s="59">
        <f t="shared" si="10"/>
        <v>73.17</v>
      </c>
      <c r="U78" s="43"/>
      <c r="V78" s="317">
        <f>M78+IF(P78-N78&lt;ROUND(Basisbedragen!$C$57*$W$1,2),P78-N78,ROUND(Basisbedragen!$C$57*$W$1,2))</f>
        <v>63.68</v>
      </c>
      <c r="W78" s="59">
        <f>N78+IF(P78-N78&lt;ROUND(Basisbedragen!$C$57*$W$1,2),P78-N78,ROUND(Basisbedragen!$C$57*$W$1,2))</f>
        <v>73.17</v>
      </c>
    </row>
    <row r="79" spans="1:23" ht="15" thickBot="1">
      <c r="A79" s="54">
        <f t="shared" si="11"/>
        <v>71</v>
      </c>
      <c r="C79" s="59">
        <f>IF(ROUND(ROUND(('Loonschijven_Tranches salariale'!$Q78*0.65),4)*$W$1,2)&lt;C$8,C$8,ROUND(ROUND(('Loonschijven_Tranches salariale'!$Q78*0.65),4)*$W$1,2))</f>
        <v>79.28</v>
      </c>
      <c r="D79" s="59">
        <f>IF(ROUND(ROUND(('Loonschijven_Tranches salariale'!$Q78*0.6),4)*$W$1,2)&lt;D$8,D$8,ROUND(ROUND(('Loonschijven_Tranches salariale'!$Q78*0.6),4)*$W$1,2))</f>
        <v>73.180000000000007</v>
      </c>
      <c r="E79" s="59">
        <f>IF(ROUND(ROUND(('Loonschijven_Tranches salariale'!$Q78*0.6),4)*$W$1,2)&lt;E$8,E$8,IF('Loonschijven_Tranches salariale'!$Q78&lt;Basisbedragen!$C$24,ROUND(ROUND(('Loonschijven_Tranches salariale'!$Q78*0.6),4)*$W$1,2),ROUND(ROUND((Basisbedragen!$C$24*0.6),4)*$W$1,2)))</f>
        <v>73.180000000000007</v>
      </c>
      <c r="F79" s="42"/>
      <c r="G79" s="59">
        <f>IF(ROUND(ROUND(('Loonschijven_Tranches salariale'!$Q78*0.6),4)*$W$1,2)&lt;G$8,G$8,IF('Loonschijven_Tranches salariale'!$Q78&lt;Basisbedragen!$C$23,ROUND(ROUND(('Loonschijven_Tranches salariale'!$Q78*0.6),4)*$W$1,2),ROUND(ROUND((Basisbedragen!$C$23*0.6),4)*$W$1,2)))</f>
        <v>68.989999999999995</v>
      </c>
      <c r="H79" s="59">
        <f t="shared" si="9"/>
        <v>68.23</v>
      </c>
      <c r="I79" s="59">
        <f t="shared" si="9"/>
        <v>68.23</v>
      </c>
      <c r="J79" s="59">
        <f t="shared" si="9"/>
        <v>68.23</v>
      </c>
      <c r="K79" s="59">
        <f t="shared" si="9"/>
        <v>68.23</v>
      </c>
      <c r="L79" s="42"/>
      <c r="M79" s="42">
        <f t="shared" si="12"/>
        <v>58.74</v>
      </c>
      <c r="N79" s="59">
        <f t="shared" si="8"/>
        <v>68.23</v>
      </c>
      <c r="O79" s="42"/>
      <c r="P79" s="59">
        <f>IF(ROUND(ROUND(('Loonschijven_Tranches salariale'!$Q78*0.6),4)*$W$1,2)+ROUND(Basisbedragen!$C$56*$W$1,2)&lt;$P$8,$P$8,IF('Loonschijven_Tranches salariale'!$Q78&lt;Basisbedragen!$C$23,ROUND(ROUND(('Loonschijven_Tranches salariale'!$Q78*0.6),4)*$W$1,2)+ROUND(Basisbedragen!$C$56*$W$1,2),ROUND(ROUND((Basisbedragen!$C$23*0.6),4)*$W$1,2)+ROUND(Basisbedragen!$C$56*$W$1,2)))</f>
        <v>75.149999999999991</v>
      </c>
      <c r="Q79" s="59">
        <f t="shared" si="10"/>
        <v>73.17</v>
      </c>
      <c r="R79" s="59">
        <f t="shared" si="10"/>
        <v>73.17</v>
      </c>
      <c r="S79" s="59">
        <f t="shared" si="10"/>
        <v>73.17</v>
      </c>
      <c r="T79" s="59">
        <f t="shared" si="10"/>
        <v>73.17</v>
      </c>
      <c r="U79" s="43"/>
      <c r="V79" s="317">
        <f>M79+IF(P79-N79&lt;ROUND(Basisbedragen!$C$57*$W$1,2),P79-N79,ROUND(Basisbedragen!$C$57*$W$1,2))</f>
        <v>63.68</v>
      </c>
      <c r="W79" s="59">
        <f>N79+IF(P79-N79&lt;ROUND(Basisbedragen!$C$57*$W$1,2),P79-N79,ROUND(Basisbedragen!$C$57*$W$1,2))</f>
        <v>73.17</v>
      </c>
    </row>
    <row r="80" spans="1:23" ht="15" thickBot="1">
      <c r="A80" s="54">
        <f t="shared" si="11"/>
        <v>72</v>
      </c>
      <c r="C80" s="59">
        <f>IF(ROUND(ROUND(('Loonschijven_Tranches salariale'!$Q79*0.65),4)*$W$1,2)&lt;C$8,C$8,ROUND(ROUND(('Loonschijven_Tranches salariale'!$Q79*0.65),4)*$W$1,2))</f>
        <v>79.77</v>
      </c>
      <c r="D80" s="59">
        <f>IF(ROUND(ROUND(('Loonschijven_Tranches salariale'!$Q79*0.6),4)*$W$1,2)&lt;D$8,D$8,ROUND(ROUND(('Loonschijven_Tranches salariale'!$Q79*0.6),4)*$W$1,2))</f>
        <v>73.63</v>
      </c>
      <c r="E80" s="59">
        <f>IF(ROUND(ROUND(('Loonschijven_Tranches salariale'!$Q79*0.6),4)*$W$1,2)&lt;E$8,E$8,IF('Loonschijven_Tranches salariale'!$Q79&lt;Basisbedragen!$C$24,ROUND(ROUND(('Loonschijven_Tranches salariale'!$Q79*0.6),4)*$W$1,2),ROUND(ROUND((Basisbedragen!$C$24*0.6),4)*$W$1,2)))</f>
        <v>73.63</v>
      </c>
      <c r="F80" s="42"/>
      <c r="G80" s="59">
        <f>IF(ROUND(ROUND(('Loonschijven_Tranches salariale'!$Q79*0.6),4)*$W$1,2)&lt;G$8,G$8,IF('Loonschijven_Tranches salariale'!$Q79&lt;Basisbedragen!$C$23,ROUND(ROUND(('Loonschijven_Tranches salariale'!$Q79*0.6),4)*$W$1,2),ROUND(ROUND((Basisbedragen!$C$23*0.6),4)*$W$1,2)))</f>
        <v>68.989999999999995</v>
      </c>
      <c r="H80" s="59">
        <f t="shared" si="9"/>
        <v>68.23</v>
      </c>
      <c r="I80" s="59">
        <f t="shared" si="9"/>
        <v>68.23</v>
      </c>
      <c r="J80" s="59">
        <f t="shared" si="9"/>
        <v>68.23</v>
      </c>
      <c r="K80" s="59">
        <f t="shared" si="9"/>
        <v>68.23</v>
      </c>
      <c r="L80" s="42"/>
      <c r="M80" s="42">
        <f t="shared" si="12"/>
        <v>58.74</v>
      </c>
      <c r="N80" s="59">
        <f t="shared" si="8"/>
        <v>68.23</v>
      </c>
      <c r="O80" s="42"/>
      <c r="P80" s="59">
        <f>IF(ROUND(ROUND(('Loonschijven_Tranches salariale'!$Q79*0.6),4)*$W$1,2)+ROUND(Basisbedragen!$C$56*$W$1,2)&lt;$P$8,$P$8,IF('Loonschijven_Tranches salariale'!$Q79&lt;Basisbedragen!$C$23,ROUND(ROUND(('Loonschijven_Tranches salariale'!$Q79*0.6),4)*$W$1,2)+ROUND(Basisbedragen!$C$56*$W$1,2),ROUND(ROUND((Basisbedragen!$C$23*0.6),4)*$W$1,2)+ROUND(Basisbedragen!$C$56*$W$1,2)))</f>
        <v>75.149999999999991</v>
      </c>
      <c r="Q80" s="59">
        <f t="shared" si="10"/>
        <v>73.17</v>
      </c>
      <c r="R80" s="59">
        <f t="shared" si="10"/>
        <v>73.17</v>
      </c>
      <c r="S80" s="59">
        <f t="shared" si="10"/>
        <v>73.17</v>
      </c>
      <c r="T80" s="59">
        <f t="shared" si="10"/>
        <v>73.17</v>
      </c>
      <c r="U80" s="43"/>
      <c r="V80" s="317">
        <f>M80+IF(P80-N80&lt;ROUND(Basisbedragen!$C$57*$W$1,2),P80-N80,ROUND(Basisbedragen!$C$57*$W$1,2))</f>
        <v>63.68</v>
      </c>
      <c r="W80" s="59">
        <f>N80+IF(P80-N80&lt;ROUND(Basisbedragen!$C$57*$W$1,2),P80-N80,ROUND(Basisbedragen!$C$57*$W$1,2))</f>
        <v>73.17</v>
      </c>
    </row>
    <row r="81" spans="1:23" ht="15" thickBot="1">
      <c r="A81" s="54">
        <f t="shared" si="11"/>
        <v>73</v>
      </c>
      <c r="C81" s="59">
        <f>IF(ROUND(ROUND(('Loonschijven_Tranches salariale'!$Q80*0.65),4)*$W$1,2)&lt;C$8,C$8,ROUND(ROUND(('Loonschijven_Tranches salariale'!$Q80*0.65),4)*$W$1,2))</f>
        <v>80.87</v>
      </c>
      <c r="D81" s="59">
        <f>IF(ROUND(ROUND(('Loonschijven_Tranches salariale'!$Q80*0.6),4)*$W$1,2)&lt;D$8,D$8,ROUND(ROUND(('Loonschijven_Tranches salariale'!$Q80*0.6),4)*$W$1,2))</f>
        <v>74.650000000000006</v>
      </c>
      <c r="E81" s="59">
        <f>IF(ROUND(ROUND(('Loonschijven_Tranches salariale'!$Q80*0.6),4)*$W$1,2)&lt;E$8,E$8,IF('Loonschijven_Tranches salariale'!$Q80&lt;Basisbedragen!$C$24,ROUND(ROUND(('Loonschijven_Tranches salariale'!$Q80*0.6),4)*$W$1,2),ROUND(ROUND((Basisbedragen!$C$24*0.6),4)*$W$1,2)))</f>
        <v>73.819999999999993</v>
      </c>
      <c r="G81" s="59">
        <f>IF(ROUND(ROUND(('Loonschijven_Tranches salariale'!$Q80*0.6),4)*$W$1,2)&lt;G$8,G$8,IF('Loonschijven_Tranches salariale'!$Q80&lt;Basisbedragen!$C$23,ROUND(ROUND(('Loonschijven_Tranches salariale'!$Q80*0.6),4)*$W$1,2),ROUND(ROUND((Basisbedragen!$C$23*0.6),4)*$W$1,2)))</f>
        <v>68.989999999999995</v>
      </c>
      <c r="H81" s="59">
        <f t="shared" si="9"/>
        <v>68.23</v>
      </c>
      <c r="I81" s="59">
        <f t="shared" si="9"/>
        <v>68.23</v>
      </c>
      <c r="J81" s="59">
        <f t="shared" si="9"/>
        <v>68.23</v>
      </c>
      <c r="K81" s="59">
        <f t="shared" si="9"/>
        <v>68.23</v>
      </c>
      <c r="M81" s="42">
        <f t="shared" si="12"/>
        <v>58.74</v>
      </c>
      <c r="N81" s="59">
        <f t="shared" si="8"/>
        <v>68.23</v>
      </c>
      <c r="P81" s="59">
        <f>IF(ROUND(ROUND(('Loonschijven_Tranches salariale'!$Q80*0.6),4)*$W$1,2)+ROUND(Basisbedragen!$C$56*$W$1,2)&lt;$P$8,$P$8,IF('Loonschijven_Tranches salariale'!$Q80&lt;Basisbedragen!$C$23,ROUND(ROUND(('Loonschijven_Tranches salariale'!$Q80*0.6),4)*$W$1,2)+ROUND(Basisbedragen!$C$56*$W$1,2),ROUND(ROUND((Basisbedragen!$C$23*0.6),4)*$W$1,2)+ROUND(Basisbedragen!$C$56*$W$1,2)))</f>
        <v>75.149999999999991</v>
      </c>
      <c r="Q81" s="59">
        <f t="shared" si="10"/>
        <v>73.17</v>
      </c>
      <c r="R81" s="59">
        <f t="shared" si="10"/>
        <v>73.17</v>
      </c>
      <c r="S81" s="59">
        <f t="shared" si="10"/>
        <v>73.17</v>
      </c>
      <c r="T81" s="59">
        <f t="shared" si="10"/>
        <v>73.17</v>
      </c>
      <c r="V81" s="317">
        <f>M81+IF(P81-N81&lt;ROUND(Basisbedragen!$C$57*$W$1,2),P81-N81,ROUND(Basisbedragen!$C$57*$W$1,2))</f>
        <v>63.68</v>
      </c>
      <c r="W81" s="59">
        <f>N81+IF(P81-N81&lt;ROUND(Basisbedragen!$C$57*$W$1,2),P81-N81,ROUND(Basisbedragen!$C$57*$W$1,2))</f>
        <v>73.17</v>
      </c>
    </row>
    <row r="82" spans="1:23" ht="15" thickBot="1">
      <c r="A82" s="54">
        <f t="shared" ref="A82:A87" si="13">A81+1</f>
        <v>74</v>
      </c>
      <c r="C82" s="59">
        <f>IF(ROUND(ROUND(('Loonschijven_Tranches salariale'!$Q81*0.65),4)*$W$1,2)&lt;C$8,C$8,ROUND(ROUND(('Loonschijven_Tranches salariale'!$Q81*0.65),4)*$W$1,2))</f>
        <v>81.36</v>
      </c>
      <c r="D82" s="59">
        <f>IF(ROUND(ROUND(('Loonschijven_Tranches salariale'!$Q81*0.6),4)*$W$1,2)&lt;D$8,D$8,ROUND(ROUND(('Loonschijven_Tranches salariale'!$Q81*0.6),4)*$W$1,2))</f>
        <v>75.099999999999994</v>
      </c>
      <c r="E82" s="59">
        <f>IF(ROUND(ROUND(('Loonschijven_Tranches salariale'!$Q81*0.6),4)*$W$1,2)&lt;E$8,E$8,IF('Loonschijven_Tranches salariale'!$Q81&lt;Basisbedragen!$C$24,ROUND(ROUND(('Loonschijven_Tranches salariale'!$Q81*0.6),4)*$W$1,2),ROUND(ROUND((Basisbedragen!$C$24*0.6),4)*$W$1,2)))</f>
        <v>73.819999999999993</v>
      </c>
      <c r="G82" s="59">
        <f>IF(ROUND(ROUND(('Loonschijven_Tranches salariale'!$Q81*0.6),4)*$W$1,2)&lt;G$8,G$8,IF('Loonschijven_Tranches salariale'!$Q81&lt;Basisbedragen!$C$23,ROUND(ROUND(('Loonschijven_Tranches salariale'!$Q81*0.6),4)*$W$1,2),ROUND(ROUND((Basisbedragen!$C$23*0.6),4)*$W$1,2)))</f>
        <v>68.989999999999995</v>
      </c>
      <c r="H82" s="59">
        <f t="shared" si="9"/>
        <v>68.23</v>
      </c>
      <c r="I82" s="59">
        <f t="shared" si="9"/>
        <v>68.23</v>
      </c>
      <c r="J82" s="59">
        <f t="shared" si="9"/>
        <v>68.23</v>
      </c>
      <c r="K82" s="59">
        <f t="shared" si="9"/>
        <v>68.23</v>
      </c>
      <c r="M82" s="42">
        <f t="shared" si="12"/>
        <v>58.74</v>
      </c>
      <c r="N82" s="59">
        <f t="shared" si="8"/>
        <v>68.23</v>
      </c>
      <c r="P82" s="59">
        <f>IF(ROUND(ROUND(('Loonschijven_Tranches salariale'!$Q81*0.6),4)*$W$1,2)+ROUND(Basisbedragen!$C$56*$W$1,2)&lt;$P$8,$P$8,IF('Loonschijven_Tranches salariale'!$Q81&lt;Basisbedragen!$C$23,ROUND(ROUND(('Loonschijven_Tranches salariale'!$Q81*0.6),4)*$W$1,2)+ROUND(Basisbedragen!$C$56*$W$1,2),ROUND(ROUND((Basisbedragen!$C$23*0.6),4)*$W$1,2)+ROUND(Basisbedragen!$C$56*$W$1,2)))</f>
        <v>75.149999999999991</v>
      </c>
      <c r="Q82" s="59">
        <f t="shared" si="10"/>
        <v>73.17</v>
      </c>
      <c r="R82" s="59">
        <f t="shared" si="10"/>
        <v>73.17</v>
      </c>
      <c r="S82" s="59">
        <f t="shared" si="10"/>
        <v>73.17</v>
      </c>
      <c r="T82" s="59">
        <f t="shared" si="10"/>
        <v>73.17</v>
      </c>
      <c r="V82" s="317">
        <f>M82+IF(P82-N82&lt;ROUND(Basisbedragen!$C$57*$W$1,2),P82-N82,ROUND(Basisbedragen!$C$57*$W$1,2))</f>
        <v>63.68</v>
      </c>
      <c r="W82" s="59">
        <f>N82+IF(P82-N82&lt;ROUND(Basisbedragen!$C$57*$W$1,2),P82-N82,ROUND(Basisbedragen!$C$57*$W$1,2))</f>
        <v>73.17</v>
      </c>
    </row>
    <row r="83" spans="1:23" ht="15" thickBot="1">
      <c r="A83" s="54">
        <f t="shared" si="13"/>
        <v>75</v>
      </c>
      <c r="C83" s="59">
        <f>IF(ROUND(ROUND(('Loonschijven_Tranches salariale'!$Q82*0.65),4)*$W$1,2)&lt;C$8,C$8,ROUND(ROUND(('Loonschijven_Tranches salariale'!$Q82*0.65),4)*$W$1,2))</f>
        <v>82.38</v>
      </c>
      <c r="D83" s="59">
        <f>IF(ROUND(ROUND(('Loonschijven_Tranches salariale'!$Q82*0.6),4)*$W$1,2)&lt;D$8,D$8,ROUND(ROUND(('Loonschijven_Tranches salariale'!$Q82*0.6),4)*$W$1,2))</f>
        <v>76.040000000000006</v>
      </c>
      <c r="E83" s="59">
        <f>IF(ROUND(ROUND(('Loonschijven_Tranches salariale'!$Q82*0.6),4)*$W$1,2)&lt;E$8,E$8,IF('Loonschijven_Tranches salariale'!$Q82&lt;Basisbedragen!$C$24,ROUND(ROUND(('Loonschijven_Tranches salariale'!$Q82*0.6),4)*$W$1,2),ROUND(ROUND((Basisbedragen!$C$24*0.6),4)*$W$1,2)))</f>
        <v>73.819999999999993</v>
      </c>
      <c r="G83" s="59">
        <f>IF(ROUND(ROUND(('Loonschijven_Tranches salariale'!$Q82*0.6),4)*$W$1,2)&lt;G$8,G$8,IF('Loonschijven_Tranches salariale'!$Q82&lt;Basisbedragen!$C$23,ROUND(ROUND(('Loonschijven_Tranches salariale'!$Q82*0.6),4)*$W$1,2),ROUND(ROUND((Basisbedragen!$C$23*0.6),4)*$W$1,2)))</f>
        <v>68.989999999999995</v>
      </c>
      <c r="H83" s="59">
        <f t="shared" si="9"/>
        <v>68.23</v>
      </c>
      <c r="I83" s="59">
        <f t="shared" si="9"/>
        <v>68.23</v>
      </c>
      <c r="J83" s="59">
        <f t="shared" si="9"/>
        <v>68.23</v>
      </c>
      <c r="K83" s="59">
        <f t="shared" si="9"/>
        <v>68.23</v>
      </c>
      <c r="M83" s="42">
        <f t="shared" si="12"/>
        <v>58.74</v>
      </c>
      <c r="N83" s="59">
        <f t="shared" si="8"/>
        <v>68.23</v>
      </c>
      <c r="P83" s="59">
        <f>IF(ROUND(ROUND(('Loonschijven_Tranches salariale'!$Q82*0.6),4)*$W$1,2)+ROUND(Basisbedragen!$C$56*$W$1,2)&lt;$P$8,$P$8,IF('Loonschijven_Tranches salariale'!$Q82&lt;Basisbedragen!$C$23,ROUND(ROUND(('Loonschijven_Tranches salariale'!$Q82*0.6),4)*$W$1,2)+ROUND(Basisbedragen!$C$56*$W$1,2),ROUND(ROUND((Basisbedragen!$C$23*0.6),4)*$W$1,2)+ROUND(Basisbedragen!$C$56*$W$1,2)))</f>
        <v>75.149999999999991</v>
      </c>
      <c r="Q83" s="59">
        <f t="shared" si="10"/>
        <v>73.17</v>
      </c>
      <c r="R83" s="59">
        <f t="shared" si="10"/>
        <v>73.17</v>
      </c>
      <c r="S83" s="59">
        <f t="shared" si="10"/>
        <v>73.17</v>
      </c>
      <c r="T83" s="59">
        <f t="shared" si="10"/>
        <v>73.17</v>
      </c>
      <c r="V83" s="317">
        <f>M83+IF(P83-N83&lt;ROUND(Basisbedragen!$C$57*$W$1,2),P83-N83,ROUND(Basisbedragen!$C$57*$W$1,2))</f>
        <v>63.68</v>
      </c>
      <c r="W83" s="59">
        <f>N83+IF(P83-N83&lt;ROUND(Basisbedragen!$C$57*$W$1,2),P83-N83,ROUND(Basisbedragen!$C$57*$W$1,2))</f>
        <v>73.17</v>
      </c>
    </row>
    <row r="84" spans="1:23" ht="15" thickBot="1">
      <c r="A84" s="54">
        <f t="shared" si="13"/>
        <v>76</v>
      </c>
      <c r="C84" s="59">
        <f>IF(ROUND(ROUND(('Loonschijven_Tranches salariale'!$Q83*0.65),4)*$W$1,2)&lt;C$8,C$8,ROUND(ROUND(('Loonschijven_Tranches salariale'!$Q83*0.65),4)*$W$1,2))</f>
        <v>83.04</v>
      </c>
      <c r="D84" s="59">
        <f>IF(ROUND(ROUND(('Loonschijven_Tranches salariale'!$Q83*0.6),4)*$W$1,2)&lt;D$8,D$8,ROUND(ROUND(('Loonschijven_Tranches salariale'!$Q83*0.6),4)*$W$1,2))</f>
        <v>76.650000000000006</v>
      </c>
      <c r="E84" s="59">
        <f>IF(ROUND(ROUND(('Loonschijven_Tranches salariale'!$Q83*0.6),4)*$W$1,2)&lt;E$8,E$8,IF('Loonschijven_Tranches salariale'!$Q83&lt;Basisbedragen!$C$24,ROUND(ROUND(('Loonschijven_Tranches salariale'!$Q83*0.6),4)*$W$1,2),ROUND(ROUND((Basisbedragen!$C$24*0.6),4)*$W$1,2)))</f>
        <v>73.819999999999993</v>
      </c>
      <c r="G84" s="59">
        <f>IF(ROUND(ROUND(('Loonschijven_Tranches salariale'!$Q83*0.6),4)*$W$1,2)&lt;G$8,G$8,IF('Loonschijven_Tranches salariale'!$Q83&lt;Basisbedragen!$C$23,ROUND(ROUND(('Loonschijven_Tranches salariale'!$Q83*0.6),4)*$W$1,2),ROUND(ROUND((Basisbedragen!$C$23*0.6),4)*$W$1,2)))</f>
        <v>68.989999999999995</v>
      </c>
      <c r="H84" s="59">
        <f t="shared" si="9"/>
        <v>68.23</v>
      </c>
      <c r="I84" s="59">
        <f t="shared" si="9"/>
        <v>68.23</v>
      </c>
      <c r="J84" s="59">
        <f t="shared" si="9"/>
        <v>68.23</v>
      </c>
      <c r="K84" s="59">
        <f t="shared" si="9"/>
        <v>68.23</v>
      </c>
      <c r="M84" s="42">
        <f t="shared" si="12"/>
        <v>58.74</v>
      </c>
      <c r="N84" s="59">
        <f t="shared" si="8"/>
        <v>68.23</v>
      </c>
      <c r="P84" s="59">
        <f>IF(ROUND(ROUND(('Loonschijven_Tranches salariale'!$Q83*0.6),4)*$W$1,2)+ROUND(Basisbedragen!$C$56*$W$1,2)&lt;$P$8,$P$8,IF('Loonschijven_Tranches salariale'!$Q83&lt;Basisbedragen!$C$23,ROUND(ROUND(('Loonschijven_Tranches salariale'!$Q83*0.6),4)*$W$1,2)+ROUND(Basisbedragen!$C$56*$W$1,2),ROUND(ROUND((Basisbedragen!$C$23*0.6),4)*$W$1,2)+ROUND(Basisbedragen!$C$56*$W$1,2)))</f>
        <v>75.149999999999991</v>
      </c>
      <c r="Q84" s="59">
        <f t="shared" si="10"/>
        <v>73.17</v>
      </c>
      <c r="R84" s="59">
        <f t="shared" si="10"/>
        <v>73.17</v>
      </c>
      <c r="S84" s="59">
        <f t="shared" si="10"/>
        <v>73.17</v>
      </c>
      <c r="T84" s="59">
        <f t="shared" si="10"/>
        <v>73.17</v>
      </c>
      <c r="V84" s="317">
        <f>M84+IF(P84-N84&lt;ROUND(Basisbedragen!$C$57*$W$1,2),P84-N84,ROUND(Basisbedragen!$C$57*$W$1,2))</f>
        <v>63.68</v>
      </c>
      <c r="W84" s="59">
        <f>N84+IF(P84-N84&lt;ROUND(Basisbedragen!$C$57*$W$1,2),P84-N84,ROUND(Basisbedragen!$C$57*$W$1,2))</f>
        <v>73.17</v>
      </c>
    </row>
    <row r="85" spans="1:23" ht="15" thickBot="1">
      <c r="A85" s="54">
        <f t="shared" si="13"/>
        <v>77</v>
      </c>
      <c r="C85" s="59">
        <f>IF(ROUND(ROUND(('Loonschijven_Tranches salariale'!$Q84*0.65),4)*$W$1,2)&lt;C$8,C$8,ROUND(ROUND(('Loonschijven_Tranches salariale'!$Q84*0.65),4)*$W$1,2))</f>
        <v>83.95</v>
      </c>
      <c r="D85" s="59">
        <f>IF(ROUND(ROUND(('Loonschijven_Tranches salariale'!$Q84*0.6),4)*$W$1,2)&lt;D$8,D$8,ROUND(ROUND(('Loonschijven_Tranches salariale'!$Q84*0.6),4)*$W$1,2))</f>
        <v>77.489999999999995</v>
      </c>
      <c r="E85" s="59">
        <f>IF(ROUND(ROUND(('Loonschijven_Tranches salariale'!$Q84*0.6),4)*$W$1,2)&lt;E$8,E$8,IF('Loonschijven_Tranches salariale'!$Q84&lt;Basisbedragen!$C$24,ROUND(ROUND(('Loonschijven_Tranches salariale'!$Q84*0.6),4)*$W$1,2),ROUND(ROUND((Basisbedragen!$C$24*0.6),4)*$W$1,2)))</f>
        <v>73.819999999999993</v>
      </c>
      <c r="G85" s="59">
        <f>IF(ROUND(ROUND(('Loonschijven_Tranches salariale'!$Q84*0.6),4)*$W$1,2)&lt;G$8,G$8,IF('Loonschijven_Tranches salariale'!$Q84&lt;Basisbedragen!$C$23,ROUND(ROUND(('Loonschijven_Tranches salariale'!$Q84*0.6),4)*$W$1,2),ROUND(ROUND((Basisbedragen!$C$23*0.6),4)*$W$1,2)))</f>
        <v>68.989999999999995</v>
      </c>
      <c r="H85" s="59">
        <f t="shared" si="9"/>
        <v>68.23</v>
      </c>
      <c r="I85" s="59">
        <f t="shared" si="9"/>
        <v>68.23</v>
      </c>
      <c r="J85" s="59">
        <f t="shared" si="9"/>
        <v>68.23</v>
      </c>
      <c r="K85" s="59">
        <f t="shared" si="9"/>
        <v>68.23</v>
      </c>
      <c r="M85" s="42">
        <f t="shared" si="12"/>
        <v>58.74</v>
      </c>
      <c r="N85" s="59">
        <f t="shared" si="8"/>
        <v>68.23</v>
      </c>
      <c r="P85" s="59">
        <f>IF(ROUND(ROUND(('Loonschijven_Tranches salariale'!$Q84*0.6),4)*$W$1,2)+ROUND(Basisbedragen!$C$56*$W$1,2)&lt;$P$8,$P$8,IF('Loonschijven_Tranches salariale'!$Q84&lt;Basisbedragen!$C$23,ROUND(ROUND(('Loonschijven_Tranches salariale'!$Q84*0.6),4)*$W$1,2)+ROUND(Basisbedragen!$C$56*$W$1,2),ROUND(ROUND((Basisbedragen!$C$23*0.6),4)*$W$1,2)+ROUND(Basisbedragen!$C$56*$W$1,2)))</f>
        <v>75.149999999999991</v>
      </c>
      <c r="Q85" s="59">
        <f t="shared" si="10"/>
        <v>73.17</v>
      </c>
      <c r="R85" s="59">
        <f t="shared" si="10"/>
        <v>73.17</v>
      </c>
      <c r="S85" s="59">
        <f t="shared" si="10"/>
        <v>73.17</v>
      </c>
      <c r="T85" s="59">
        <f t="shared" si="10"/>
        <v>73.17</v>
      </c>
      <c r="V85" s="317">
        <f>M85+IF(P85-N85&lt;ROUND(Basisbedragen!$C$57*$W$1,2),P85-N85,ROUND(Basisbedragen!$C$57*$W$1,2))</f>
        <v>63.68</v>
      </c>
      <c r="W85" s="59">
        <f>N85+IF(P85-N85&lt;ROUND(Basisbedragen!$C$57*$W$1,2),P85-N85,ROUND(Basisbedragen!$C$57*$W$1,2))</f>
        <v>73.17</v>
      </c>
    </row>
    <row r="86" spans="1:23" ht="15" thickBot="1">
      <c r="A86" s="54">
        <f t="shared" si="13"/>
        <v>78</v>
      </c>
      <c r="B86" s="486"/>
      <c r="C86" s="59">
        <f>IF(ROUND(ROUND(('Loonschijven_Tranches salariale'!$Q85*0.65),4)*$W$1,2)&lt;C$8,C$8,ROUND(ROUND(('Loonschijven_Tranches salariale'!$Q85*0.65),4)*$W$1,2))</f>
        <v>84.88</v>
      </c>
      <c r="D86" s="59">
        <f>IF(ROUND(ROUND(('Loonschijven_Tranches salariale'!$Q85*0.6),4)*$W$1,2)&lt;D$8,D$8,ROUND(ROUND(('Loonschijven_Tranches salariale'!$Q85*0.6),4)*$W$1,2))</f>
        <v>78.349999999999994</v>
      </c>
      <c r="E86" s="59">
        <f>IF(ROUND(ROUND(('Loonschijven_Tranches salariale'!$Q85*0.6),4)*$W$1,2)&lt;E$8,E$8,IF('Loonschijven_Tranches salariale'!$Q85&lt;Basisbedragen!$C$24,ROUND(ROUND(('Loonschijven_Tranches salariale'!$Q85*0.6),4)*$W$1,2),ROUND(ROUND((Basisbedragen!$C$24*0.6),4)*$W$1,2)))</f>
        <v>73.819999999999993</v>
      </c>
      <c r="F86" s="486"/>
      <c r="G86" s="59">
        <f>IF(ROUND(ROUND(('Loonschijven_Tranches salariale'!$Q85*0.6),4)*$W$1,2)&lt;G$8,G$8,IF('Loonschijven_Tranches salariale'!$Q85&lt;Basisbedragen!$C$23,ROUND(ROUND(('Loonschijven_Tranches salariale'!$Q85*0.6),4)*$W$1,2),ROUND(ROUND((Basisbedragen!$C$23*0.6),4)*$W$1,2)))</f>
        <v>68.989999999999995</v>
      </c>
      <c r="H86" s="59">
        <f t="shared" si="9"/>
        <v>68.23</v>
      </c>
      <c r="I86" s="59">
        <f t="shared" si="9"/>
        <v>68.23</v>
      </c>
      <c r="J86" s="59">
        <f t="shared" si="9"/>
        <v>68.23</v>
      </c>
      <c r="K86" s="59">
        <f t="shared" si="9"/>
        <v>68.23</v>
      </c>
      <c r="L86" s="486"/>
      <c r="M86" s="42">
        <f t="shared" si="12"/>
        <v>58.74</v>
      </c>
      <c r="N86" s="59">
        <f t="shared" si="8"/>
        <v>68.23</v>
      </c>
      <c r="O86" s="486"/>
      <c r="P86" s="59">
        <f>IF(ROUND(ROUND(('Loonschijven_Tranches salariale'!$Q85*0.6),4)*$W$1,2)+ROUND(Basisbedragen!$C$56*$W$1,2)&lt;$P$8,$P$8,IF('Loonschijven_Tranches salariale'!$Q85&lt;Basisbedragen!$C$23,ROUND(ROUND(('Loonschijven_Tranches salariale'!$Q85*0.6),4)*$W$1,2)+ROUND(Basisbedragen!$C$56*$W$1,2),ROUND(ROUND((Basisbedragen!$C$23*0.6),4)*$W$1,2)+ROUND(Basisbedragen!$C$56*$W$1,2)))</f>
        <v>75.149999999999991</v>
      </c>
      <c r="Q86" s="59">
        <f t="shared" si="10"/>
        <v>73.17</v>
      </c>
      <c r="R86" s="59">
        <f t="shared" si="10"/>
        <v>73.17</v>
      </c>
      <c r="S86" s="59">
        <f t="shared" si="10"/>
        <v>73.17</v>
      </c>
      <c r="T86" s="59">
        <f t="shared" si="10"/>
        <v>73.17</v>
      </c>
      <c r="U86" s="486"/>
      <c r="V86" s="317">
        <f>M86+IF(P86-N86&lt;ROUND(Basisbedragen!$C$57*$W$1,2),P86-N86,ROUND(Basisbedragen!$C$57*$W$1,2))</f>
        <v>63.68</v>
      </c>
      <c r="W86" s="59">
        <f>N86+IF(P86-N86&lt;ROUND(Basisbedragen!$C$57*$W$1,2),P86-N86,ROUND(Basisbedragen!$C$57*$W$1,2))</f>
        <v>73.17</v>
      </c>
    </row>
    <row r="87" spans="1:23" ht="15" thickBot="1">
      <c r="A87" s="54">
        <f t="shared" si="13"/>
        <v>79</v>
      </c>
      <c r="B87" s="512"/>
      <c r="C87" s="59">
        <f>IF(ROUND(ROUND(('Loonschijven_Tranches salariale'!$Q86*0.65),4)*$W$1,2)&lt;C$8,C$8,ROUND(ROUND(('Loonschijven_Tranches salariale'!$Q86*0.65),4)*$W$1,2))</f>
        <v>85.81</v>
      </c>
      <c r="D87" s="59">
        <f>IF(ROUND(ROUND(('Loonschijven_Tranches salariale'!$Q86*0.6),4)*$W$1,2)&lt;D$8,D$8,ROUND(ROUND(('Loonschijven_Tranches salariale'!$Q86*0.6),4)*$W$1,2))</f>
        <v>79.209999999999994</v>
      </c>
      <c r="E87" s="59">
        <f>IF(ROUND(ROUND(('Loonschijven_Tranches salariale'!$Q86*0.6),4)*$W$1,2)&lt;E$8,E$8,IF('Loonschijven_Tranches salariale'!$Q86&lt;Basisbedragen!$C$24,ROUND(ROUND(('Loonschijven_Tranches salariale'!$Q86*0.6),4)*$W$1,2),ROUND(ROUND((Basisbedragen!$C$24*0.6),4)*$W$1,2)))</f>
        <v>73.819999999999993</v>
      </c>
      <c r="F87" s="512"/>
      <c r="G87" s="59">
        <f>IF(ROUND(ROUND(('Loonschijven_Tranches salariale'!$Q86*0.6),4)*$W$1,2)&lt;G$8,G$8,IF('Loonschijven_Tranches salariale'!$Q86&lt;Basisbedragen!$C$23,ROUND(ROUND(('Loonschijven_Tranches salariale'!$Q86*0.6),4)*$W$1,2),ROUND(ROUND((Basisbedragen!$C$23*0.6),4)*$W$1,2)))</f>
        <v>68.989999999999995</v>
      </c>
      <c r="H87" s="59">
        <f t="shared" si="9"/>
        <v>68.23</v>
      </c>
      <c r="I87" s="59">
        <f t="shared" si="9"/>
        <v>68.23</v>
      </c>
      <c r="J87" s="59">
        <f t="shared" si="9"/>
        <v>68.23</v>
      </c>
      <c r="K87" s="59">
        <f t="shared" si="9"/>
        <v>68.23</v>
      </c>
      <c r="L87" s="512"/>
      <c r="M87" s="42">
        <f t="shared" si="12"/>
        <v>58.74</v>
      </c>
      <c r="N87" s="59">
        <f t="shared" si="8"/>
        <v>68.23</v>
      </c>
      <c r="O87" s="512"/>
      <c r="P87" s="59">
        <f>IF(ROUND(ROUND(('Loonschijven_Tranches salariale'!$Q86*0.6),4)*$W$1,2)+ROUND(Basisbedragen!$C$56*$W$1,2)&lt;$P$8,$P$8,IF('Loonschijven_Tranches salariale'!$Q86&lt;Basisbedragen!$C$23,ROUND(ROUND(('Loonschijven_Tranches salariale'!$Q86*0.6),4)*$W$1,2)+ROUND(Basisbedragen!$C$56*$W$1,2),ROUND(ROUND((Basisbedragen!$C$23*0.6),4)*$W$1,2)+ROUND(Basisbedragen!$C$56*$W$1,2)))</f>
        <v>75.149999999999991</v>
      </c>
      <c r="Q87" s="59">
        <f t="shared" si="10"/>
        <v>73.17</v>
      </c>
      <c r="R87" s="59">
        <f t="shared" si="10"/>
        <v>73.17</v>
      </c>
      <c r="S87" s="59">
        <f t="shared" si="10"/>
        <v>73.17</v>
      </c>
      <c r="T87" s="59">
        <f t="shared" si="10"/>
        <v>73.17</v>
      </c>
      <c r="U87" s="512"/>
      <c r="V87" s="317">
        <f>M87+IF(P87-N87&lt;ROUND(Basisbedragen!$C$57*$W$1,2),P87-N87,ROUND(Basisbedragen!$C$57*$W$1,2))</f>
        <v>63.68</v>
      </c>
      <c r="W87" s="59">
        <f>N87+IF(P87-N87&lt;ROUND(Basisbedragen!$C$57*$W$1,2),P87-N87,ROUND(Basisbedragen!$C$57*$W$1,2))</f>
        <v>73.17</v>
      </c>
    </row>
  </sheetData>
  <sheetProtection algorithmName="SHA-512" hashValue="bmPDNas5tj5Wbn86hbWUFtBH+3j4/hc7iZ5IEUMlo/b2cP2OnX3L8MRs2u7FhsRw1g544tEPW+g9xmqoXSrraQ==" saltValue="ZL0E0AoxhE5Yf2ruxj/JRQ==" spinCount="100000" sheet="1" objects="1" scenarios="1"/>
  <mergeCells count="9">
    <mergeCell ref="P3:T3"/>
    <mergeCell ref="P4:T4"/>
    <mergeCell ref="S1:T1"/>
    <mergeCell ref="C1:R1"/>
    <mergeCell ref="C4:E4"/>
    <mergeCell ref="G4:K4"/>
    <mergeCell ref="C3:E3"/>
    <mergeCell ref="G3:K3"/>
    <mergeCell ref="C2:S2"/>
  </mergeCells>
  <conditionalFormatting sqref="Q10:T84 P9:T80 P71:P85 N9:N87 W9:W87 C9:E87 G9:K87 P83:T87">
    <cfRule type="expression" dxfId="31" priority="7">
      <formula>MOD(INDIRECT(ADDRESS(ROW(),1)),5)=0</formula>
    </cfRule>
  </conditionalFormatting>
  <conditionalFormatting sqref="P9:P87">
    <cfRule type="expression" dxfId="30" priority="3">
      <formula>MOD(INDIRECT(ADDRESS(ROW(),1)),5)=0</formula>
    </cfRule>
    <cfRule type="cellIs" dxfId="29" priority="4" operator="lessThan">
      <formula>$P$8</formula>
    </cfRule>
  </conditionalFormatting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>
    <oddFooter>&amp;L&amp;10Rijksdienst voor Arbeidsvoorziening&amp;R&amp;10Office national de l'Emploi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86"/>
  <sheetViews>
    <sheetView showGridLines="0" zoomScaleNormal="10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9.109375" customWidth="1"/>
    <col min="3" max="3" width="0.6640625" customWidth="1"/>
    <col min="4" max="4" width="9.109375" style="552" customWidth="1"/>
    <col min="5" max="5" width="0.6640625" style="552" customWidth="1"/>
    <col min="6" max="6" width="9.109375" style="553" customWidth="1"/>
    <col min="7" max="7" width="0.6640625" style="553" customWidth="1"/>
    <col min="9" max="9" width="0.6640625" customWidth="1"/>
    <col min="11" max="11" width="4.33203125" customWidth="1"/>
    <col min="13" max="13" width="0.6640625" customWidth="1"/>
    <col min="14" max="14" width="9.109375" style="552" customWidth="1"/>
    <col min="15" max="15" width="0.6640625" style="552" customWidth="1"/>
    <col min="16" max="16" width="9.109375" style="553" customWidth="1"/>
    <col min="17" max="17" width="0.6640625" style="553" customWidth="1"/>
    <col min="19" max="19" width="0.6640625" customWidth="1"/>
  </cols>
  <sheetData>
    <row r="1" spans="1:32" ht="15" customHeight="1">
      <c r="A1" s="44" t="s">
        <v>33</v>
      </c>
      <c r="B1" s="111" t="s">
        <v>75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599" t="s">
        <v>34</v>
      </c>
      <c r="V1" s="599"/>
      <c r="W1" s="599"/>
      <c r="X1" s="497">
        <f>Basisbedragen!$H$2</f>
        <v>1.7410000000000001</v>
      </c>
      <c r="Y1" s="111"/>
      <c r="Z1" s="111"/>
      <c r="AA1" s="111"/>
      <c r="AB1" s="111"/>
      <c r="AC1" s="111"/>
      <c r="AD1" s="599"/>
      <c r="AE1" s="599"/>
      <c r="AF1" s="81"/>
    </row>
    <row r="2" spans="1:32" ht="15.6">
      <c r="A2" s="491">
        <v>45689</v>
      </c>
      <c r="B2" s="111" t="s">
        <v>76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45"/>
      <c r="AC2" s="45"/>
      <c r="AD2" s="45"/>
    </row>
    <row r="3" spans="1:32" ht="15" thickBot="1">
      <c r="A3" s="46"/>
    </row>
    <row r="4" spans="1:32" ht="32.4" customHeight="1" thickBot="1">
      <c r="A4" s="46"/>
      <c r="B4" s="615" t="s">
        <v>532</v>
      </c>
      <c r="C4" s="616"/>
      <c r="D4" s="616"/>
      <c r="E4" s="616"/>
      <c r="F4" s="616"/>
      <c r="G4" s="616"/>
      <c r="H4" s="616"/>
      <c r="I4" s="616"/>
      <c r="J4" s="617"/>
      <c r="L4" s="615" t="s">
        <v>533</v>
      </c>
      <c r="M4" s="616"/>
      <c r="N4" s="616"/>
      <c r="O4" s="616"/>
      <c r="P4" s="616"/>
      <c r="Q4" s="616"/>
      <c r="R4" s="616"/>
      <c r="S4" s="616"/>
      <c r="T4" s="617"/>
    </row>
    <row r="5" spans="1:32" ht="35.4" thickBot="1">
      <c r="A5" s="52" t="s">
        <v>35</v>
      </c>
      <c r="B5" s="324" t="s">
        <v>529</v>
      </c>
      <c r="D5" s="324" t="s">
        <v>529</v>
      </c>
      <c r="F5" s="324" t="s">
        <v>243</v>
      </c>
      <c r="H5" s="324" t="s">
        <v>243</v>
      </c>
      <c r="J5" s="324" t="s">
        <v>79</v>
      </c>
      <c r="L5" s="324" t="s">
        <v>529</v>
      </c>
      <c r="N5" s="324" t="s">
        <v>529</v>
      </c>
      <c r="P5" s="324" t="s">
        <v>243</v>
      </c>
      <c r="R5" s="324" t="s">
        <v>243</v>
      </c>
      <c r="T5" s="324" t="s">
        <v>79</v>
      </c>
    </row>
    <row r="6" spans="1:32" ht="15" thickBot="1">
      <c r="A6" s="53"/>
      <c r="B6" s="64">
        <v>0.65</v>
      </c>
      <c r="D6" s="64">
        <v>0.6</v>
      </c>
      <c r="F6" s="64">
        <v>0.65</v>
      </c>
      <c r="H6" s="64">
        <v>0.6</v>
      </c>
      <c r="J6" s="64">
        <v>0.65</v>
      </c>
      <c r="L6" s="64">
        <v>0.65</v>
      </c>
      <c r="N6" s="64">
        <v>0.6</v>
      </c>
      <c r="P6" s="64">
        <v>0.65</v>
      </c>
      <c r="R6" s="64">
        <v>0.6</v>
      </c>
      <c r="T6" s="64">
        <v>0.65</v>
      </c>
    </row>
    <row r="7" spans="1:32" ht="15" thickBot="1">
      <c r="A7" s="70" t="s">
        <v>4</v>
      </c>
      <c r="B7" s="106">
        <f>ROUND(Basisbedragen!$C$45*$X$1,2)</f>
        <v>67.41</v>
      </c>
      <c r="C7" s="106">
        <f>ROUND(Basisbedragen!$C$45*$X$1,2)</f>
        <v>67.41</v>
      </c>
      <c r="D7" s="106">
        <f>ROUND(Basisbedragen!$C$46*$X$1,2)</f>
        <v>62.22</v>
      </c>
      <c r="F7" s="106">
        <f>ROUND(B7*1.2,2)</f>
        <v>80.89</v>
      </c>
      <c r="H7" s="106">
        <f>ROUND(D7*1.2,2)</f>
        <v>74.66</v>
      </c>
      <c r="J7" s="261">
        <f>ROUND(Basisbedragen!$C$75*$X$1,2)</f>
        <v>54.28</v>
      </c>
      <c r="L7" s="106">
        <f t="shared" ref="L7:L38" si="0">ROUND(B7/2,2)</f>
        <v>33.71</v>
      </c>
      <c r="M7" s="106">
        <f t="shared" ref="M7:M8" si="1">ROUND(C7/2,2)</f>
        <v>33.71</v>
      </c>
      <c r="N7" s="106">
        <f t="shared" ref="N7:N70" si="2">ROUND(D7/2,2)</f>
        <v>31.11</v>
      </c>
      <c r="P7" s="106">
        <f>ROUND(F7/2,2)</f>
        <v>40.450000000000003</v>
      </c>
      <c r="R7" s="106">
        <f t="shared" ref="R7:R38" si="3">ROUND(H7/2,2)</f>
        <v>37.33</v>
      </c>
      <c r="T7" s="261">
        <f>ROUND(J7/2,2)</f>
        <v>27.14</v>
      </c>
    </row>
    <row r="8" spans="1:32" ht="15" hidden="1" outlineLevel="1" thickBot="1">
      <c r="A8" s="54">
        <v>1</v>
      </c>
      <c r="B8" s="59">
        <f>IF(ROUND(ROUND(('Loonschijven_Tranches salariale'!$Q8*0.65),4)*$X$1,2)&lt;$B$7,$B$7,ROUND(ROUND(('Loonschijven_Tranches salariale'!$Q8*0.65),4)*$X$1,2))</f>
        <v>67.41</v>
      </c>
      <c r="C8" s="59">
        <f>IF(ROUND(ROUND(('Loonschijven_Tranches salariale'!$Q8*0.65),4)*$X$1,2)&lt;$B$7,$B$7,ROUND(ROUND(('Loonschijven_Tranches salariale'!$Q8*0.65),4)*$X$1,2))</f>
        <v>67.41</v>
      </c>
      <c r="D8" s="59">
        <f>IF(ROUND(ROUND(('Loonschijven_Tranches salariale'!$Q8*0.6),4)*$X$1,2)&lt;$D$7,$D$7,ROUND(ROUND(('Loonschijven_Tranches salariale'!$Q8*0.6),4)*$X$1,2))</f>
        <v>62.22</v>
      </c>
      <c r="F8" s="59">
        <f>ROUND(B8*1.2,2)</f>
        <v>80.89</v>
      </c>
      <c r="H8" s="59">
        <f>ROUND(D8*1.2,2)</f>
        <v>74.66</v>
      </c>
      <c r="J8" s="59">
        <f>IF(ROUND(ROUND(('Loonschijven_Tranches salariale'!$Q8*0.65),4)*$X$1,2)&lt;J$7,J$7,IF('Loonschijven_Tranches salariale'!$Q8&lt;Basisbedragen!$C$26,ROUND(ROUND(('Loonschijven_Tranches salariale'!$Q8*0.65),4)*$X$1,2),ROUND(ROUND((Basisbedragen!$C$26*0.65),4)*$X$1,2)))</f>
        <v>54.28</v>
      </c>
      <c r="L8" s="59">
        <f t="shared" si="0"/>
        <v>33.71</v>
      </c>
      <c r="M8" s="59">
        <f t="shared" si="1"/>
        <v>33.71</v>
      </c>
      <c r="N8" s="59">
        <f t="shared" si="2"/>
        <v>31.11</v>
      </c>
      <c r="P8" s="59">
        <f t="shared" ref="P8:P71" si="4">ROUND(F8/2,2)</f>
        <v>40.450000000000003</v>
      </c>
      <c r="R8" s="59">
        <f t="shared" si="3"/>
        <v>37.33</v>
      </c>
      <c r="T8" s="59">
        <f>ROUND(J8/2,2)</f>
        <v>27.14</v>
      </c>
    </row>
    <row r="9" spans="1:32" ht="15" hidden="1" outlineLevel="1" thickBot="1">
      <c r="A9" s="54">
        <f>A8+1</f>
        <v>2</v>
      </c>
      <c r="B9" s="59">
        <f>IF(ROUND(ROUND(('Loonschijven_Tranches salariale'!$Q9*0.65),4)*$X$1,2)&lt;$B$7,$B$7,ROUND(ROUND(('Loonschijven_Tranches salariale'!$Q9*0.65),4)*$X$1,2))</f>
        <v>67.41</v>
      </c>
      <c r="D9" s="59">
        <f>IF(ROUND(ROUND(('Loonschijven_Tranches salariale'!$Q9*0.6),4)*$X$1,2)&lt;$D$7,$D$7,ROUND(ROUND(('Loonschijven_Tranches salariale'!$Q9*0.6),4)*$X$1,2))</f>
        <v>62.22</v>
      </c>
      <c r="F9" s="59">
        <f t="shared" ref="F9:F72" si="5">ROUND(B9*1.2,2)</f>
        <v>80.89</v>
      </c>
      <c r="H9" s="59">
        <f t="shared" ref="H9:H72" si="6">ROUND(D9*1.2,2)</f>
        <v>74.66</v>
      </c>
      <c r="J9" s="59">
        <f>IF(ROUND(ROUND(('Loonschijven_Tranches salariale'!$Q9*0.65),4)*$X$1,2)&lt;J$7,J$7,IF('Loonschijven_Tranches salariale'!$Q9&lt;Basisbedragen!$C$26,ROUND(ROUND(('Loonschijven_Tranches salariale'!$Q9*0.65),4)*$X$1,2),ROUND(ROUND((Basisbedragen!$C$26*0.65),4)*$X$1,2)))</f>
        <v>54.28</v>
      </c>
      <c r="L9" s="59">
        <f t="shared" si="0"/>
        <v>33.71</v>
      </c>
      <c r="N9" s="59">
        <f t="shared" si="2"/>
        <v>31.11</v>
      </c>
      <c r="P9" s="59">
        <f t="shared" si="4"/>
        <v>40.450000000000003</v>
      </c>
      <c r="R9" s="59">
        <f t="shared" si="3"/>
        <v>37.33</v>
      </c>
      <c r="T9" s="59">
        <f t="shared" ref="T9:T72" si="7">ROUND(J9/2,2)</f>
        <v>27.14</v>
      </c>
    </row>
    <row r="10" spans="1:32" ht="15" hidden="1" outlineLevel="1" thickBot="1">
      <c r="A10" s="54">
        <f t="shared" ref="A10:A73" si="8">A9+1</f>
        <v>3</v>
      </c>
      <c r="B10" s="59">
        <f>IF(ROUND(ROUND(('Loonschijven_Tranches salariale'!$Q10*0.65),4)*$X$1,2)&lt;$B$7,$B$7,ROUND(ROUND(('Loonschijven_Tranches salariale'!$Q10*0.65),4)*$X$1,2))</f>
        <v>67.41</v>
      </c>
      <c r="D10" s="59">
        <f>IF(ROUND(ROUND(('Loonschijven_Tranches salariale'!$Q10*0.6),4)*$X$1,2)&lt;$D$7,$D$7,ROUND(ROUND(('Loonschijven_Tranches salariale'!$Q10*0.6),4)*$X$1,2))</f>
        <v>62.22</v>
      </c>
      <c r="F10" s="59">
        <f t="shared" si="5"/>
        <v>80.89</v>
      </c>
      <c r="H10" s="59">
        <f t="shared" si="6"/>
        <v>74.66</v>
      </c>
      <c r="J10" s="59">
        <f>IF(ROUND(ROUND(('Loonschijven_Tranches salariale'!$Q10*0.65),4)*$X$1,2)&lt;J$7,J$7,IF('Loonschijven_Tranches salariale'!$Q10&lt;Basisbedragen!$C$26,ROUND(ROUND(('Loonschijven_Tranches salariale'!$Q10*0.65),4)*$X$1,2),ROUND(ROUND((Basisbedragen!$C$26*0.65),4)*$X$1,2)))</f>
        <v>54.28</v>
      </c>
      <c r="L10" s="59">
        <f t="shared" si="0"/>
        <v>33.71</v>
      </c>
      <c r="N10" s="59">
        <f t="shared" si="2"/>
        <v>31.11</v>
      </c>
      <c r="P10" s="59">
        <f t="shared" si="4"/>
        <v>40.450000000000003</v>
      </c>
      <c r="R10" s="59">
        <f t="shared" si="3"/>
        <v>37.33</v>
      </c>
      <c r="T10" s="59">
        <f t="shared" si="7"/>
        <v>27.14</v>
      </c>
    </row>
    <row r="11" spans="1:32" ht="15" hidden="1" outlineLevel="1" thickBot="1">
      <c r="A11" s="54">
        <f t="shared" si="8"/>
        <v>4</v>
      </c>
      <c r="B11" s="59">
        <f>IF(ROUND(ROUND(('Loonschijven_Tranches salariale'!$Q11*0.65),4)*$X$1,2)&lt;$B$7,$B$7,ROUND(ROUND(('Loonschijven_Tranches salariale'!$Q11*0.65),4)*$X$1,2))</f>
        <v>67.41</v>
      </c>
      <c r="D11" s="59">
        <f>IF(ROUND(ROUND(('Loonschijven_Tranches salariale'!$Q11*0.6),4)*$X$1,2)&lt;$D$7,$D$7,ROUND(ROUND(('Loonschijven_Tranches salariale'!$Q11*0.6),4)*$X$1,2))</f>
        <v>62.22</v>
      </c>
      <c r="F11" s="59">
        <f t="shared" si="5"/>
        <v>80.89</v>
      </c>
      <c r="H11" s="59">
        <f t="shared" si="6"/>
        <v>74.66</v>
      </c>
      <c r="J11" s="59">
        <f>IF(ROUND(ROUND(('Loonschijven_Tranches salariale'!$Q11*0.65),4)*$X$1,2)&lt;J$7,J$7,IF('Loonschijven_Tranches salariale'!$Q11&lt;Basisbedragen!$C$26,ROUND(ROUND(('Loonschijven_Tranches salariale'!$Q11*0.65),4)*$X$1,2),ROUND(ROUND((Basisbedragen!$C$26*0.65),4)*$X$1,2)))</f>
        <v>54.28</v>
      </c>
      <c r="L11" s="59">
        <f t="shared" si="0"/>
        <v>33.71</v>
      </c>
      <c r="N11" s="59">
        <f t="shared" si="2"/>
        <v>31.11</v>
      </c>
      <c r="P11" s="59">
        <f t="shared" si="4"/>
        <v>40.450000000000003</v>
      </c>
      <c r="R11" s="59">
        <f t="shared" si="3"/>
        <v>37.33</v>
      </c>
      <c r="T11" s="59">
        <f t="shared" si="7"/>
        <v>27.14</v>
      </c>
    </row>
    <row r="12" spans="1:32" ht="15" hidden="1" outlineLevel="1" thickBot="1">
      <c r="A12" s="54">
        <f t="shared" si="8"/>
        <v>5</v>
      </c>
      <c r="B12" s="59">
        <f>IF(ROUND(ROUND(('Loonschijven_Tranches salariale'!$Q12*0.65),4)*$X$1,2)&lt;$B$7,$B$7,ROUND(ROUND(('Loonschijven_Tranches salariale'!$Q12*0.65),4)*$X$1,2))</f>
        <v>67.41</v>
      </c>
      <c r="D12" s="59">
        <f>IF(ROUND(ROUND(('Loonschijven_Tranches salariale'!$Q12*0.6),4)*$X$1,2)&lt;$D$7,$D$7,ROUND(ROUND(('Loonschijven_Tranches salariale'!$Q12*0.6),4)*$X$1,2))</f>
        <v>62.22</v>
      </c>
      <c r="F12" s="59">
        <f t="shared" si="5"/>
        <v>80.89</v>
      </c>
      <c r="H12" s="59">
        <f t="shared" si="6"/>
        <v>74.66</v>
      </c>
      <c r="J12" s="59">
        <f>IF(ROUND(ROUND(('Loonschijven_Tranches salariale'!$Q12*0.65),4)*$X$1,2)&lt;J$7,J$7,IF('Loonschijven_Tranches salariale'!$Q12&lt;Basisbedragen!$C$26,ROUND(ROUND(('Loonschijven_Tranches salariale'!$Q12*0.65),4)*$X$1,2),ROUND(ROUND((Basisbedragen!$C$26*0.65),4)*$X$1,2)))</f>
        <v>54.28</v>
      </c>
      <c r="L12" s="59">
        <f t="shared" si="0"/>
        <v>33.71</v>
      </c>
      <c r="N12" s="59">
        <f t="shared" si="2"/>
        <v>31.11</v>
      </c>
      <c r="P12" s="59">
        <f t="shared" si="4"/>
        <v>40.450000000000003</v>
      </c>
      <c r="R12" s="59">
        <f t="shared" si="3"/>
        <v>37.33</v>
      </c>
      <c r="T12" s="59">
        <f t="shared" si="7"/>
        <v>27.14</v>
      </c>
    </row>
    <row r="13" spans="1:32" ht="15" hidden="1" outlineLevel="1" thickBot="1">
      <c r="A13" s="54">
        <f t="shared" si="8"/>
        <v>6</v>
      </c>
      <c r="B13" s="59">
        <f>IF(ROUND(ROUND(('Loonschijven_Tranches salariale'!$Q13*0.65),4)*$X$1,2)&lt;$B$7,$B$7,ROUND(ROUND(('Loonschijven_Tranches salariale'!$Q13*0.65),4)*$X$1,2))</f>
        <v>67.41</v>
      </c>
      <c r="D13" s="59">
        <f>IF(ROUND(ROUND(('Loonschijven_Tranches salariale'!$Q13*0.6),4)*$X$1,2)&lt;$D$7,$D$7,ROUND(ROUND(('Loonschijven_Tranches salariale'!$Q13*0.6),4)*$X$1,2))</f>
        <v>62.22</v>
      </c>
      <c r="F13" s="59">
        <f t="shared" si="5"/>
        <v>80.89</v>
      </c>
      <c r="H13" s="59">
        <f t="shared" si="6"/>
        <v>74.66</v>
      </c>
      <c r="J13" s="59">
        <f>IF(ROUND(ROUND(('Loonschijven_Tranches salariale'!$Q13*0.65),4)*$X$1,2)&lt;J$7,J$7,IF('Loonschijven_Tranches salariale'!$Q13&lt;Basisbedragen!$C$26,ROUND(ROUND(('Loonschijven_Tranches salariale'!$Q13*0.65),4)*$X$1,2),ROUND(ROUND((Basisbedragen!$C$26*0.65),4)*$X$1,2)))</f>
        <v>54.28</v>
      </c>
      <c r="L13" s="59">
        <f t="shared" si="0"/>
        <v>33.71</v>
      </c>
      <c r="N13" s="59">
        <f t="shared" si="2"/>
        <v>31.11</v>
      </c>
      <c r="P13" s="59">
        <f t="shared" si="4"/>
        <v>40.450000000000003</v>
      </c>
      <c r="R13" s="59">
        <f t="shared" si="3"/>
        <v>37.33</v>
      </c>
      <c r="T13" s="59">
        <f t="shared" si="7"/>
        <v>27.14</v>
      </c>
    </row>
    <row r="14" spans="1:32" ht="15" hidden="1" outlineLevel="1" thickBot="1">
      <c r="A14" s="54">
        <f t="shared" si="8"/>
        <v>7</v>
      </c>
      <c r="B14" s="59">
        <f>IF(ROUND(ROUND(('Loonschijven_Tranches salariale'!$Q14*0.65),4)*$X$1,2)&lt;$B$7,$B$7,ROUND(ROUND(('Loonschijven_Tranches salariale'!$Q14*0.65),4)*$X$1,2))</f>
        <v>67.41</v>
      </c>
      <c r="D14" s="59">
        <f>IF(ROUND(ROUND(('Loonschijven_Tranches salariale'!$Q14*0.6),4)*$X$1,2)&lt;$D$7,$D$7,ROUND(ROUND(('Loonschijven_Tranches salariale'!$Q14*0.6),4)*$X$1,2))</f>
        <v>62.22</v>
      </c>
      <c r="F14" s="59">
        <f t="shared" si="5"/>
        <v>80.89</v>
      </c>
      <c r="H14" s="59">
        <f t="shared" si="6"/>
        <v>74.66</v>
      </c>
      <c r="J14" s="59">
        <f>IF(ROUND(ROUND(('Loonschijven_Tranches salariale'!$Q14*0.65),4)*$X$1,2)&lt;J$7,J$7,IF('Loonschijven_Tranches salariale'!$Q14&lt;Basisbedragen!$C$26,ROUND(ROUND(('Loonschijven_Tranches salariale'!$Q14*0.65),4)*$X$1,2),ROUND(ROUND((Basisbedragen!$C$26*0.65),4)*$X$1,2)))</f>
        <v>54.28</v>
      </c>
      <c r="L14" s="59">
        <f t="shared" si="0"/>
        <v>33.71</v>
      </c>
      <c r="N14" s="59">
        <f t="shared" si="2"/>
        <v>31.11</v>
      </c>
      <c r="P14" s="59">
        <f t="shared" si="4"/>
        <v>40.450000000000003</v>
      </c>
      <c r="R14" s="59">
        <f t="shared" si="3"/>
        <v>37.33</v>
      </c>
      <c r="T14" s="59">
        <f t="shared" si="7"/>
        <v>27.14</v>
      </c>
    </row>
    <row r="15" spans="1:32" ht="15" hidden="1" outlineLevel="1" thickBot="1">
      <c r="A15" s="54">
        <f t="shared" si="8"/>
        <v>8</v>
      </c>
      <c r="B15" s="59">
        <f>IF(ROUND(ROUND(('Loonschijven_Tranches salariale'!$Q15*0.65),4)*$X$1,2)&lt;$B$7,$B$7,ROUND(ROUND(('Loonschijven_Tranches salariale'!$Q15*0.65),4)*$X$1,2))</f>
        <v>67.41</v>
      </c>
      <c r="D15" s="59">
        <f>IF(ROUND(ROUND(('Loonschijven_Tranches salariale'!$Q15*0.6),4)*$X$1,2)&lt;$D$7,$D$7,ROUND(ROUND(('Loonschijven_Tranches salariale'!$Q15*0.6),4)*$X$1,2))</f>
        <v>62.22</v>
      </c>
      <c r="F15" s="59">
        <f t="shared" si="5"/>
        <v>80.89</v>
      </c>
      <c r="H15" s="59">
        <f t="shared" si="6"/>
        <v>74.66</v>
      </c>
      <c r="J15" s="59">
        <f>IF(ROUND(ROUND(('Loonschijven_Tranches salariale'!$Q15*0.65),4)*$X$1,2)&lt;J$7,J$7,IF('Loonschijven_Tranches salariale'!$Q15&lt;Basisbedragen!$C$26,ROUND(ROUND(('Loonschijven_Tranches salariale'!$Q15*0.65),4)*$X$1,2),ROUND(ROUND((Basisbedragen!$C$26*0.65),4)*$X$1,2)))</f>
        <v>54.28</v>
      </c>
      <c r="L15" s="59">
        <f t="shared" si="0"/>
        <v>33.71</v>
      </c>
      <c r="N15" s="59">
        <f t="shared" si="2"/>
        <v>31.11</v>
      </c>
      <c r="P15" s="59">
        <f t="shared" si="4"/>
        <v>40.450000000000003</v>
      </c>
      <c r="R15" s="59">
        <f t="shared" si="3"/>
        <v>37.33</v>
      </c>
      <c r="T15" s="59">
        <f t="shared" si="7"/>
        <v>27.14</v>
      </c>
    </row>
    <row r="16" spans="1:32" ht="15" hidden="1" outlineLevel="1" thickBot="1">
      <c r="A16" s="54">
        <f t="shared" si="8"/>
        <v>9</v>
      </c>
      <c r="B16" s="59">
        <f>IF(ROUND(ROUND(('Loonschijven_Tranches salariale'!$Q16*0.65),4)*$X$1,2)&lt;$B$7,$B$7,ROUND(ROUND(('Loonschijven_Tranches salariale'!$Q16*0.65),4)*$X$1,2))</f>
        <v>67.41</v>
      </c>
      <c r="D16" s="59">
        <f>IF(ROUND(ROUND(('Loonschijven_Tranches salariale'!$Q16*0.6),4)*$X$1,2)&lt;$D$7,$D$7,ROUND(ROUND(('Loonschijven_Tranches salariale'!$Q16*0.6),4)*$X$1,2))</f>
        <v>62.22</v>
      </c>
      <c r="F16" s="59">
        <f t="shared" si="5"/>
        <v>80.89</v>
      </c>
      <c r="H16" s="59">
        <f t="shared" si="6"/>
        <v>74.66</v>
      </c>
      <c r="J16" s="59">
        <f>IF(ROUND(ROUND(('Loonschijven_Tranches salariale'!$Q16*0.65),4)*$X$1,2)&lt;J$7,J$7,IF('Loonschijven_Tranches salariale'!$Q16&lt;Basisbedragen!$C$26,ROUND(ROUND(('Loonschijven_Tranches salariale'!$Q16*0.65),4)*$X$1,2),ROUND(ROUND((Basisbedragen!$C$26*0.65),4)*$X$1,2)))</f>
        <v>54.28</v>
      </c>
      <c r="L16" s="59">
        <f t="shared" si="0"/>
        <v>33.71</v>
      </c>
      <c r="N16" s="59">
        <f t="shared" si="2"/>
        <v>31.11</v>
      </c>
      <c r="P16" s="59">
        <f t="shared" si="4"/>
        <v>40.450000000000003</v>
      </c>
      <c r="R16" s="59">
        <f t="shared" si="3"/>
        <v>37.33</v>
      </c>
      <c r="T16" s="59">
        <f t="shared" si="7"/>
        <v>27.14</v>
      </c>
    </row>
    <row r="17" spans="1:20" ht="15" hidden="1" outlineLevel="1" thickBot="1">
      <c r="A17" s="54">
        <f t="shared" si="8"/>
        <v>10</v>
      </c>
      <c r="B17" s="59">
        <f>IF(ROUND(ROUND(('Loonschijven_Tranches salariale'!$Q17*0.65),4)*$X$1,2)&lt;$B$7,$B$7,ROUND(ROUND(('Loonschijven_Tranches salariale'!$Q17*0.65),4)*$X$1,2))</f>
        <v>67.41</v>
      </c>
      <c r="D17" s="59">
        <f>IF(ROUND(ROUND(('Loonschijven_Tranches salariale'!$Q17*0.6),4)*$X$1,2)&lt;$D$7,$D$7,ROUND(ROUND(('Loonschijven_Tranches salariale'!$Q17*0.6),4)*$X$1,2))</f>
        <v>62.22</v>
      </c>
      <c r="F17" s="59">
        <f t="shared" si="5"/>
        <v>80.89</v>
      </c>
      <c r="H17" s="59">
        <f t="shared" si="6"/>
        <v>74.66</v>
      </c>
      <c r="J17" s="59">
        <f>IF(ROUND(ROUND(('Loonschijven_Tranches salariale'!$Q17*0.65),4)*$X$1,2)&lt;J$7,J$7,IF('Loonschijven_Tranches salariale'!$Q17&lt;Basisbedragen!$C$26,ROUND(ROUND(('Loonschijven_Tranches salariale'!$Q17*0.65),4)*$X$1,2),ROUND(ROUND((Basisbedragen!$C$26*0.65),4)*$X$1,2)))</f>
        <v>54.28</v>
      </c>
      <c r="L17" s="59">
        <f t="shared" si="0"/>
        <v>33.71</v>
      </c>
      <c r="N17" s="59">
        <f t="shared" si="2"/>
        <v>31.11</v>
      </c>
      <c r="P17" s="59">
        <f t="shared" si="4"/>
        <v>40.450000000000003</v>
      </c>
      <c r="R17" s="59">
        <f t="shared" si="3"/>
        <v>37.33</v>
      </c>
      <c r="T17" s="59">
        <f t="shared" si="7"/>
        <v>27.14</v>
      </c>
    </row>
    <row r="18" spans="1:20" ht="15" hidden="1" outlineLevel="1" thickBot="1">
      <c r="A18" s="54">
        <f t="shared" si="8"/>
        <v>11</v>
      </c>
      <c r="B18" s="59">
        <f>IF(ROUND(ROUND(('Loonschijven_Tranches salariale'!$Q18*0.65),4)*$X$1,2)&lt;$B$7,$B$7,ROUND(ROUND(('Loonschijven_Tranches salariale'!$Q18*0.65),4)*$X$1,2))</f>
        <v>67.41</v>
      </c>
      <c r="D18" s="59">
        <f>IF(ROUND(ROUND(('Loonschijven_Tranches salariale'!$Q18*0.6),4)*$X$1,2)&lt;$D$7,$D$7,ROUND(ROUND(('Loonschijven_Tranches salariale'!$Q18*0.6),4)*$X$1,2))</f>
        <v>62.22</v>
      </c>
      <c r="F18" s="59">
        <f t="shared" si="5"/>
        <v>80.89</v>
      </c>
      <c r="H18" s="59">
        <f t="shared" si="6"/>
        <v>74.66</v>
      </c>
      <c r="J18" s="59">
        <f>IF(ROUND(ROUND(('Loonschijven_Tranches salariale'!$Q18*0.65),4)*$X$1,2)&lt;J$7,J$7,IF('Loonschijven_Tranches salariale'!$Q18&lt;Basisbedragen!$C$26,ROUND(ROUND(('Loonschijven_Tranches salariale'!$Q18*0.65),4)*$X$1,2),ROUND(ROUND((Basisbedragen!$C$26*0.65),4)*$X$1,2)))</f>
        <v>54.28</v>
      </c>
      <c r="L18" s="59">
        <f t="shared" si="0"/>
        <v>33.71</v>
      </c>
      <c r="N18" s="59">
        <f t="shared" si="2"/>
        <v>31.11</v>
      </c>
      <c r="P18" s="59">
        <f t="shared" si="4"/>
        <v>40.450000000000003</v>
      </c>
      <c r="R18" s="59">
        <f t="shared" si="3"/>
        <v>37.33</v>
      </c>
      <c r="T18" s="59">
        <f t="shared" si="7"/>
        <v>27.14</v>
      </c>
    </row>
    <row r="19" spans="1:20" ht="15" hidden="1" outlineLevel="1" thickBot="1">
      <c r="A19" s="54">
        <f t="shared" si="8"/>
        <v>12</v>
      </c>
      <c r="B19" s="59">
        <f>IF(ROUND(ROUND(('Loonschijven_Tranches salariale'!$Q19*0.65),4)*$X$1,2)&lt;$B$7,$B$7,ROUND(ROUND(('Loonschijven_Tranches salariale'!$Q19*0.65),4)*$X$1,2))</f>
        <v>67.41</v>
      </c>
      <c r="D19" s="59">
        <f>IF(ROUND(ROUND(('Loonschijven_Tranches salariale'!$Q19*0.6),4)*$X$1,2)&lt;$D$7,$D$7,ROUND(ROUND(('Loonschijven_Tranches salariale'!$Q19*0.6),4)*$X$1,2))</f>
        <v>62.22</v>
      </c>
      <c r="F19" s="59">
        <f t="shared" si="5"/>
        <v>80.89</v>
      </c>
      <c r="H19" s="59">
        <f t="shared" si="6"/>
        <v>74.66</v>
      </c>
      <c r="J19" s="59">
        <f>IF(ROUND(ROUND(('Loonschijven_Tranches salariale'!$Q19*0.65),4)*$X$1,2)&lt;J$7,J$7,IF('Loonschijven_Tranches salariale'!$Q19&lt;Basisbedragen!$C$26,ROUND(ROUND(('Loonschijven_Tranches salariale'!$Q19*0.65),4)*$X$1,2),ROUND(ROUND((Basisbedragen!$C$26*0.65),4)*$X$1,2)))</f>
        <v>54.28</v>
      </c>
      <c r="L19" s="59">
        <f t="shared" si="0"/>
        <v>33.71</v>
      </c>
      <c r="N19" s="59">
        <f t="shared" si="2"/>
        <v>31.11</v>
      </c>
      <c r="P19" s="59">
        <f t="shared" si="4"/>
        <v>40.450000000000003</v>
      </c>
      <c r="R19" s="59">
        <f t="shared" si="3"/>
        <v>37.33</v>
      </c>
      <c r="T19" s="59">
        <f t="shared" si="7"/>
        <v>27.14</v>
      </c>
    </row>
    <row r="20" spans="1:20" ht="15" hidden="1" outlineLevel="1" thickBot="1">
      <c r="A20" s="54">
        <f t="shared" si="8"/>
        <v>13</v>
      </c>
      <c r="B20" s="59">
        <f>IF(ROUND(ROUND(('Loonschijven_Tranches salariale'!$Q20*0.65),4)*$X$1,2)&lt;$B$7,$B$7,ROUND(ROUND(('Loonschijven_Tranches salariale'!$Q20*0.65),4)*$X$1,2))</f>
        <v>67.41</v>
      </c>
      <c r="D20" s="59">
        <f>IF(ROUND(ROUND(('Loonschijven_Tranches salariale'!$Q20*0.6),4)*$X$1,2)&lt;$D$7,$D$7,ROUND(ROUND(('Loonschijven_Tranches salariale'!$Q20*0.6),4)*$X$1,2))</f>
        <v>62.22</v>
      </c>
      <c r="F20" s="59">
        <f t="shared" si="5"/>
        <v>80.89</v>
      </c>
      <c r="H20" s="59">
        <f t="shared" si="6"/>
        <v>74.66</v>
      </c>
      <c r="J20" s="59">
        <f>IF(ROUND(ROUND(('Loonschijven_Tranches salariale'!$Q20*0.65),4)*$X$1,2)&lt;J$7,J$7,IF('Loonschijven_Tranches salariale'!$Q20&lt;Basisbedragen!$C$26,ROUND(ROUND(('Loonschijven_Tranches salariale'!$Q20*0.65),4)*$X$1,2),ROUND(ROUND((Basisbedragen!$C$26*0.65),4)*$X$1,2)))</f>
        <v>54.28</v>
      </c>
      <c r="L20" s="59">
        <f t="shared" si="0"/>
        <v>33.71</v>
      </c>
      <c r="N20" s="59">
        <f t="shared" si="2"/>
        <v>31.11</v>
      </c>
      <c r="P20" s="59">
        <f t="shared" si="4"/>
        <v>40.450000000000003</v>
      </c>
      <c r="R20" s="59">
        <f t="shared" si="3"/>
        <v>37.33</v>
      </c>
      <c r="T20" s="59">
        <f t="shared" si="7"/>
        <v>27.14</v>
      </c>
    </row>
    <row r="21" spans="1:20" ht="15" hidden="1" outlineLevel="1" thickBot="1">
      <c r="A21" s="54">
        <f t="shared" si="8"/>
        <v>14</v>
      </c>
      <c r="B21" s="59">
        <f>IF(ROUND(ROUND(('Loonschijven_Tranches salariale'!$Q21*0.65),4)*$X$1,2)&lt;$B$7,$B$7,ROUND(ROUND(('Loonschijven_Tranches salariale'!$Q21*0.65),4)*$X$1,2))</f>
        <v>67.41</v>
      </c>
      <c r="D21" s="59">
        <f>IF(ROUND(ROUND(('Loonschijven_Tranches salariale'!$Q21*0.6),4)*$X$1,2)&lt;$D$7,$D$7,ROUND(ROUND(('Loonschijven_Tranches salariale'!$Q21*0.6),4)*$X$1,2))</f>
        <v>62.22</v>
      </c>
      <c r="F21" s="59">
        <f t="shared" si="5"/>
        <v>80.89</v>
      </c>
      <c r="H21" s="59">
        <f t="shared" si="6"/>
        <v>74.66</v>
      </c>
      <c r="J21" s="59">
        <f>IF(ROUND(ROUND(('Loonschijven_Tranches salariale'!$Q21*0.65),4)*$X$1,2)&lt;J$7,J$7,IF('Loonschijven_Tranches salariale'!$Q21&lt;Basisbedragen!$C$26,ROUND(ROUND(('Loonschijven_Tranches salariale'!$Q21*0.65),4)*$X$1,2),ROUND(ROUND((Basisbedragen!$C$26*0.65),4)*$X$1,2)))</f>
        <v>54.28</v>
      </c>
      <c r="L21" s="59">
        <f t="shared" si="0"/>
        <v>33.71</v>
      </c>
      <c r="N21" s="59">
        <f t="shared" si="2"/>
        <v>31.11</v>
      </c>
      <c r="P21" s="59">
        <f t="shared" si="4"/>
        <v>40.450000000000003</v>
      </c>
      <c r="R21" s="59">
        <f t="shared" si="3"/>
        <v>37.33</v>
      </c>
      <c r="T21" s="59">
        <f t="shared" si="7"/>
        <v>27.14</v>
      </c>
    </row>
    <row r="22" spans="1:20" ht="15" hidden="1" outlineLevel="1" thickBot="1">
      <c r="A22" s="54">
        <f t="shared" si="8"/>
        <v>15</v>
      </c>
      <c r="B22" s="59">
        <f>IF(ROUND(ROUND(('Loonschijven_Tranches salariale'!$Q22*0.65),4)*$X$1,2)&lt;$B$7,$B$7,ROUND(ROUND(('Loonschijven_Tranches salariale'!$Q22*0.65),4)*$X$1,2))</f>
        <v>67.41</v>
      </c>
      <c r="D22" s="59">
        <f>IF(ROUND(ROUND(('Loonschijven_Tranches salariale'!$Q22*0.6),4)*$X$1,2)&lt;$D$7,$D$7,ROUND(ROUND(('Loonschijven_Tranches salariale'!$Q22*0.6),4)*$X$1,2))</f>
        <v>62.22</v>
      </c>
      <c r="F22" s="59">
        <f t="shared" si="5"/>
        <v>80.89</v>
      </c>
      <c r="H22" s="59">
        <f t="shared" si="6"/>
        <v>74.66</v>
      </c>
      <c r="J22" s="59">
        <f>IF(ROUND(ROUND(('Loonschijven_Tranches salariale'!$Q22*0.65),4)*$X$1,2)&lt;J$7,J$7,IF('Loonschijven_Tranches salariale'!$Q22&lt;Basisbedragen!$C$26,ROUND(ROUND(('Loonschijven_Tranches salariale'!$Q22*0.65),4)*$X$1,2),ROUND(ROUND((Basisbedragen!$C$26*0.65),4)*$X$1,2)))</f>
        <v>54.28</v>
      </c>
      <c r="L22" s="59">
        <f t="shared" si="0"/>
        <v>33.71</v>
      </c>
      <c r="N22" s="59">
        <f t="shared" si="2"/>
        <v>31.11</v>
      </c>
      <c r="P22" s="59">
        <f t="shared" si="4"/>
        <v>40.450000000000003</v>
      </c>
      <c r="R22" s="59">
        <f t="shared" si="3"/>
        <v>37.33</v>
      </c>
      <c r="T22" s="59">
        <f t="shared" si="7"/>
        <v>27.14</v>
      </c>
    </row>
    <row r="23" spans="1:20" ht="15" hidden="1" outlineLevel="1" thickBot="1">
      <c r="A23" s="54">
        <f t="shared" si="8"/>
        <v>16</v>
      </c>
      <c r="B23" s="59">
        <f>IF(ROUND(ROUND(('Loonschijven_Tranches salariale'!$Q23*0.65),4)*$X$1,2)&lt;$B$7,$B$7,ROUND(ROUND(('Loonschijven_Tranches salariale'!$Q23*0.65),4)*$X$1,2))</f>
        <v>67.41</v>
      </c>
      <c r="D23" s="59">
        <f>IF(ROUND(ROUND(('Loonschijven_Tranches salariale'!$Q23*0.6),4)*$X$1,2)&lt;$D$7,$D$7,ROUND(ROUND(('Loonschijven_Tranches salariale'!$Q23*0.6),4)*$X$1,2))</f>
        <v>62.22</v>
      </c>
      <c r="F23" s="59">
        <f t="shared" si="5"/>
        <v>80.89</v>
      </c>
      <c r="H23" s="59">
        <f t="shared" si="6"/>
        <v>74.66</v>
      </c>
      <c r="J23" s="59">
        <f>IF(ROUND(ROUND(('Loonschijven_Tranches salariale'!$Q23*0.65),4)*$X$1,2)&lt;J$7,J$7,IF('Loonschijven_Tranches salariale'!$Q23&lt;Basisbedragen!$C$26,ROUND(ROUND(('Loonschijven_Tranches salariale'!$Q23*0.65),4)*$X$1,2),ROUND(ROUND((Basisbedragen!$C$26*0.65),4)*$X$1,2)))</f>
        <v>54.28</v>
      </c>
      <c r="L23" s="59">
        <f t="shared" si="0"/>
        <v>33.71</v>
      </c>
      <c r="N23" s="59">
        <f t="shared" si="2"/>
        <v>31.11</v>
      </c>
      <c r="P23" s="59">
        <f t="shared" si="4"/>
        <v>40.450000000000003</v>
      </c>
      <c r="R23" s="59">
        <f t="shared" si="3"/>
        <v>37.33</v>
      </c>
      <c r="T23" s="59">
        <f t="shared" si="7"/>
        <v>27.14</v>
      </c>
    </row>
    <row r="24" spans="1:20" ht="15" hidden="1" outlineLevel="1" thickBot="1">
      <c r="A24" s="54">
        <f t="shared" si="8"/>
        <v>17</v>
      </c>
      <c r="B24" s="59">
        <f>IF(ROUND(ROUND(('Loonschijven_Tranches salariale'!$Q24*0.65),4)*$X$1,2)&lt;$B$7,$B$7,ROUND(ROUND(('Loonschijven_Tranches salariale'!$Q24*0.65),4)*$X$1,2))</f>
        <v>67.41</v>
      </c>
      <c r="D24" s="59">
        <f>IF(ROUND(ROUND(('Loonschijven_Tranches salariale'!$Q24*0.6),4)*$X$1,2)&lt;$D$7,$D$7,ROUND(ROUND(('Loonschijven_Tranches salariale'!$Q24*0.6),4)*$X$1,2))</f>
        <v>62.22</v>
      </c>
      <c r="F24" s="59">
        <f t="shared" si="5"/>
        <v>80.89</v>
      </c>
      <c r="H24" s="59">
        <f t="shared" si="6"/>
        <v>74.66</v>
      </c>
      <c r="J24" s="59">
        <f>IF(ROUND(ROUND(('Loonschijven_Tranches salariale'!$Q24*0.65),4)*$X$1,2)&lt;J$7,J$7,IF('Loonschijven_Tranches salariale'!$Q24&lt;Basisbedragen!$C$26,ROUND(ROUND(('Loonschijven_Tranches salariale'!$Q24*0.65),4)*$X$1,2),ROUND(ROUND((Basisbedragen!$C$26*0.65),4)*$X$1,2)))</f>
        <v>54.28</v>
      </c>
      <c r="L24" s="59">
        <f t="shared" si="0"/>
        <v>33.71</v>
      </c>
      <c r="N24" s="59">
        <f t="shared" si="2"/>
        <v>31.11</v>
      </c>
      <c r="P24" s="59">
        <f t="shared" si="4"/>
        <v>40.450000000000003</v>
      </c>
      <c r="R24" s="59">
        <f t="shared" si="3"/>
        <v>37.33</v>
      </c>
      <c r="T24" s="59">
        <f t="shared" si="7"/>
        <v>27.14</v>
      </c>
    </row>
    <row r="25" spans="1:20" ht="15" hidden="1" outlineLevel="1" thickBot="1">
      <c r="A25" s="54">
        <f t="shared" si="8"/>
        <v>18</v>
      </c>
      <c r="B25" s="59">
        <f>IF(ROUND(ROUND(('Loonschijven_Tranches salariale'!$Q25*0.65),4)*$X$1,2)&lt;$B$7,$B$7,ROUND(ROUND(('Loonschijven_Tranches salariale'!$Q25*0.65),4)*$X$1,2))</f>
        <v>67.41</v>
      </c>
      <c r="D25" s="59">
        <f>IF(ROUND(ROUND(('Loonschijven_Tranches salariale'!$Q25*0.6),4)*$X$1,2)&lt;$D$7,$D$7,ROUND(ROUND(('Loonschijven_Tranches salariale'!$Q25*0.6),4)*$X$1,2))</f>
        <v>62.22</v>
      </c>
      <c r="F25" s="59">
        <f t="shared" si="5"/>
        <v>80.89</v>
      </c>
      <c r="H25" s="59">
        <f t="shared" si="6"/>
        <v>74.66</v>
      </c>
      <c r="J25" s="59">
        <f>IF(ROUND(ROUND(('Loonschijven_Tranches salariale'!$Q25*0.65),4)*$X$1,2)&lt;J$7,J$7,IF('Loonschijven_Tranches salariale'!$Q25&lt;Basisbedragen!$C$26,ROUND(ROUND(('Loonschijven_Tranches salariale'!$Q25*0.65),4)*$X$1,2),ROUND(ROUND((Basisbedragen!$C$26*0.65),4)*$X$1,2)))</f>
        <v>54.28</v>
      </c>
      <c r="L25" s="59">
        <f t="shared" si="0"/>
        <v>33.71</v>
      </c>
      <c r="N25" s="59">
        <f t="shared" si="2"/>
        <v>31.11</v>
      </c>
      <c r="P25" s="59">
        <f t="shared" si="4"/>
        <v>40.450000000000003</v>
      </c>
      <c r="R25" s="59">
        <f t="shared" si="3"/>
        <v>37.33</v>
      </c>
      <c r="T25" s="59">
        <f t="shared" si="7"/>
        <v>27.14</v>
      </c>
    </row>
    <row r="26" spans="1:20" ht="15" hidden="1" outlineLevel="1" thickBot="1">
      <c r="A26" s="54">
        <f t="shared" si="8"/>
        <v>19</v>
      </c>
      <c r="B26" s="59">
        <f>IF(ROUND(ROUND(('Loonschijven_Tranches salariale'!$Q26*0.65),4)*$X$1,2)&lt;$B$7,$B$7,ROUND(ROUND(('Loonschijven_Tranches salariale'!$Q26*0.65),4)*$X$1,2))</f>
        <v>67.41</v>
      </c>
      <c r="D26" s="59">
        <f>IF(ROUND(ROUND(('Loonschijven_Tranches salariale'!$Q26*0.6),4)*$X$1,2)&lt;$D$7,$D$7,ROUND(ROUND(('Loonschijven_Tranches salariale'!$Q26*0.6),4)*$X$1,2))</f>
        <v>62.22</v>
      </c>
      <c r="F26" s="59">
        <f t="shared" si="5"/>
        <v>80.89</v>
      </c>
      <c r="H26" s="59">
        <f t="shared" si="6"/>
        <v>74.66</v>
      </c>
      <c r="J26" s="59">
        <f>IF(ROUND(ROUND(('Loonschijven_Tranches salariale'!$Q26*0.65),4)*$X$1,2)&lt;J$7,J$7,IF('Loonschijven_Tranches salariale'!$Q26&lt;Basisbedragen!$C$26,ROUND(ROUND(('Loonschijven_Tranches salariale'!$Q26*0.65),4)*$X$1,2),ROUND(ROUND((Basisbedragen!$C$26*0.65),4)*$X$1,2)))</f>
        <v>54.28</v>
      </c>
      <c r="L26" s="59">
        <f t="shared" si="0"/>
        <v>33.71</v>
      </c>
      <c r="N26" s="59">
        <f t="shared" si="2"/>
        <v>31.11</v>
      </c>
      <c r="P26" s="59">
        <f t="shared" si="4"/>
        <v>40.450000000000003</v>
      </c>
      <c r="R26" s="59">
        <f t="shared" si="3"/>
        <v>37.33</v>
      </c>
      <c r="T26" s="59">
        <f t="shared" si="7"/>
        <v>27.14</v>
      </c>
    </row>
    <row r="27" spans="1:20" ht="15" hidden="1" outlineLevel="1" thickBot="1">
      <c r="A27" s="54">
        <f t="shared" si="8"/>
        <v>20</v>
      </c>
      <c r="B27" s="59">
        <f>IF(ROUND(ROUND(('Loonschijven_Tranches salariale'!$Q27*0.65),4)*$X$1,2)&lt;$B$7,$B$7,ROUND(ROUND(('Loonschijven_Tranches salariale'!$Q27*0.65),4)*$X$1,2))</f>
        <v>67.41</v>
      </c>
      <c r="D27" s="59">
        <f>IF(ROUND(ROUND(('Loonschijven_Tranches salariale'!$Q27*0.6),4)*$X$1,2)&lt;$D$7,$D$7,ROUND(ROUND(('Loonschijven_Tranches salariale'!$Q27*0.6),4)*$X$1,2))</f>
        <v>62.22</v>
      </c>
      <c r="F27" s="59">
        <f t="shared" si="5"/>
        <v>80.89</v>
      </c>
      <c r="H27" s="59">
        <f t="shared" si="6"/>
        <v>74.66</v>
      </c>
      <c r="J27" s="59">
        <f>IF(ROUND(ROUND(('Loonschijven_Tranches salariale'!$Q27*0.65),4)*$X$1,2)&lt;J$7,J$7,IF('Loonschijven_Tranches salariale'!$Q27&lt;Basisbedragen!$C$26,ROUND(ROUND(('Loonschijven_Tranches salariale'!$Q27*0.65),4)*$X$1,2),ROUND(ROUND((Basisbedragen!$C$26*0.65),4)*$X$1,2)))</f>
        <v>54.28</v>
      </c>
      <c r="L27" s="59">
        <f t="shared" si="0"/>
        <v>33.71</v>
      </c>
      <c r="N27" s="59">
        <f t="shared" si="2"/>
        <v>31.11</v>
      </c>
      <c r="P27" s="59">
        <f t="shared" si="4"/>
        <v>40.450000000000003</v>
      </c>
      <c r="R27" s="59">
        <f t="shared" si="3"/>
        <v>37.33</v>
      </c>
      <c r="T27" s="59">
        <f t="shared" si="7"/>
        <v>27.14</v>
      </c>
    </row>
    <row r="28" spans="1:20" ht="15" hidden="1" outlineLevel="1" thickBot="1">
      <c r="A28" s="54">
        <f t="shared" si="8"/>
        <v>21</v>
      </c>
      <c r="B28" s="59">
        <f>IF(ROUND(ROUND(('Loonschijven_Tranches salariale'!$Q28*0.65),4)*$X$1,2)&lt;$B$7,$B$7,ROUND(ROUND(('Loonschijven_Tranches salariale'!$Q28*0.65),4)*$X$1,2))</f>
        <v>67.41</v>
      </c>
      <c r="D28" s="59">
        <f>IF(ROUND(ROUND(('Loonschijven_Tranches salariale'!$Q28*0.6),4)*$X$1,2)&lt;$D$7,$D$7,ROUND(ROUND(('Loonschijven_Tranches salariale'!$Q28*0.6),4)*$X$1,2))</f>
        <v>62.22</v>
      </c>
      <c r="F28" s="59">
        <f t="shared" si="5"/>
        <v>80.89</v>
      </c>
      <c r="H28" s="59">
        <f t="shared" si="6"/>
        <v>74.66</v>
      </c>
      <c r="J28" s="59">
        <f>IF(ROUND(ROUND(('Loonschijven_Tranches salariale'!$Q28*0.65),4)*$X$1,2)&lt;J$7,J$7,IF('Loonschijven_Tranches salariale'!$Q28&lt;Basisbedragen!$C$26,ROUND(ROUND(('Loonschijven_Tranches salariale'!$Q28*0.65),4)*$X$1,2),ROUND(ROUND((Basisbedragen!$C$26*0.65),4)*$X$1,2)))</f>
        <v>54.28</v>
      </c>
      <c r="L28" s="59">
        <f t="shared" si="0"/>
        <v>33.71</v>
      </c>
      <c r="N28" s="59">
        <f t="shared" si="2"/>
        <v>31.11</v>
      </c>
      <c r="P28" s="59">
        <f t="shared" si="4"/>
        <v>40.450000000000003</v>
      </c>
      <c r="R28" s="59">
        <f t="shared" si="3"/>
        <v>37.33</v>
      </c>
      <c r="T28" s="59">
        <f t="shared" si="7"/>
        <v>27.14</v>
      </c>
    </row>
    <row r="29" spans="1:20" ht="15" hidden="1" outlineLevel="1" thickBot="1">
      <c r="A29" s="54">
        <f t="shared" si="8"/>
        <v>22</v>
      </c>
      <c r="B29" s="59">
        <f>IF(ROUND(ROUND(('Loonschijven_Tranches salariale'!$Q29*0.65),4)*$X$1,2)&lt;$B$7,$B$7,ROUND(ROUND(('Loonschijven_Tranches salariale'!$Q29*0.65),4)*$X$1,2))</f>
        <v>67.41</v>
      </c>
      <c r="D29" s="59">
        <f>IF(ROUND(ROUND(('Loonschijven_Tranches salariale'!$Q29*0.6),4)*$X$1,2)&lt;$D$7,$D$7,ROUND(ROUND(('Loonschijven_Tranches salariale'!$Q29*0.6),4)*$X$1,2))</f>
        <v>62.22</v>
      </c>
      <c r="F29" s="59">
        <f t="shared" si="5"/>
        <v>80.89</v>
      </c>
      <c r="H29" s="59">
        <f t="shared" si="6"/>
        <v>74.66</v>
      </c>
      <c r="J29" s="59">
        <f>IF(ROUND(ROUND(('Loonschijven_Tranches salariale'!$Q29*0.65),4)*$X$1,2)&lt;J$7,J$7,IF('Loonschijven_Tranches salariale'!$Q29&lt;Basisbedragen!$C$26,ROUND(ROUND(('Loonschijven_Tranches salariale'!$Q29*0.65),4)*$X$1,2),ROUND(ROUND((Basisbedragen!$C$26*0.65),4)*$X$1,2)))</f>
        <v>54.28</v>
      </c>
      <c r="L29" s="59">
        <f t="shared" si="0"/>
        <v>33.71</v>
      </c>
      <c r="N29" s="59">
        <f t="shared" si="2"/>
        <v>31.11</v>
      </c>
      <c r="P29" s="59">
        <f t="shared" si="4"/>
        <v>40.450000000000003</v>
      </c>
      <c r="R29" s="59">
        <f t="shared" si="3"/>
        <v>37.33</v>
      </c>
      <c r="T29" s="59">
        <f t="shared" si="7"/>
        <v>27.14</v>
      </c>
    </row>
    <row r="30" spans="1:20" ht="15" hidden="1" outlineLevel="1" thickBot="1">
      <c r="A30" s="54">
        <f t="shared" si="8"/>
        <v>23</v>
      </c>
      <c r="B30" s="59">
        <f>IF(ROUND(ROUND(('Loonschijven_Tranches salariale'!$Q30*0.65),4)*$X$1,2)&lt;$B$7,$B$7,ROUND(ROUND(('Loonschijven_Tranches salariale'!$Q30*0.65),4)*$X$1,2))</f>
        <v>67.41</v>
      </c>
      <c r="D30" s="59">
        <f>IF(ROUND(ROUND(('Loonschijven_Tranches salariale'!$Q30*0.6),4)*$X$1,2)&lt;$D$7,$D$7,ROUND(ROUND(('Loonschijven_Tranches salariale'!$Q30*0.6),4)*$X$1,2))</f>
        <v>62.22</v>
      </c>
      <c r="F30" s="59">
        <f t="shared" si="5"/>
        <v>80.89</v>
      </c>
      <c r="H30" s="59">
        <f t="shared" si="6"/>
        <v>74.66</v>
      </c>
      <c r="J30" s="59">
        <f>IF(ROUND(ROUND(('Loonschijven_Tranches salariale'!$Q30*0.65),4)*$X$1,2)&lt;J$7,J$7,IF('Loonschijven_Tranches salariale'!$Q30&lt;Basisbedragen!$C$26,ROUND(ROUND(('Loonschijven_Tranches salariale'!$Q30*0.65),4)*$X$1,2),ROUND(ROUND((Basisbedragen!$C$26*0.65),4)*$X$1,2)))</f>
        <v>54.28</v>
      </c>
      <c r="L30" s="59">
        <f t="shared" si="0"/>
        <v>33.71</v>
      </c>
      <c r="N30" s="59">
        <f t="shared" si="2"/>
        <v>31.11</v>
      </c>
      <c r="P30" s="59">
        <f t="shared" si="4"/>
        <v>40.450000000000003</v>
      </c>
      <c r="R30" s="59">
        <f t="shared" si="3"/>
        <v>37.33</v>
      </c>
      <c r="T30" s="59">
        <f t="shared" si="7"/>
        <v>27.14</v>
      </c>
    </row>
    <row r="31" spans="1:20" ht="15" hidden="1" outlineLevel="1" thickBot="1">
      <c r="A31" s="54">
        <f t="shared" si="8"/>
        <v>24</v>
      </c>
      <c r="B31" s="59">
        <f>IF(ROUND(ROUND(('Loonschijven_Tranches salariale'!$Q31*0.65),4)*$X$1,2)&lt;$B$7,$B$7,ROUND(ROUND(('Loonschijven_Tranches salariale'!$Q31*0.65),4)*$X$1,2))</f>
        <v>67.41</v>
      </c>
      <c r="D31" s="59">
        <f>IF(ROUND(ROUND(('Loonschijven_Tranches salariale'!$Q31*0.6),4)*$X$1,2)&lt;$D$7,$D$7,ROUND(ROUND(('Loonschijven_Tranches salariale'!$Q31*0.6),4)*$X$1,2))</f>
        <v>62.22</v>
      </c>
      <c r="F31" s="59">
        <f t="shared" si="5"/>
        <v>80.89</v>
      </c>
      <c r="H31" s="59">
        <f t="shared" si="6"/>
        <v>74.66</v>
      </c>
      <c r="J31" s="59">
        <f>IF(ROUND(ROUND(('Loonschijven_Tranches salariale'!$Q31*0.65),4)*$X$1,2)&lt;J$7,J$7,IF('Loonschijven_Tranches salariale'!$Q31&lt;Basisbedragen!$C$26,ROUND(ROUND(('Loonschijven_Tranches salariale'!$Q31*0.65),4)*$X$1,2),ROUND(ROUND((Basisbedragen!$C$26*0.65),4)*$X$1,2)))</f>
        <v>54.28</v>
      </c>
      <c r="L31" s="59">
        <f t="shared" si="0"/>
        <v>33.71</v>
      </c>
      <c r="N31" s="59">
        <f t="shared" si="2"/>
        <v>31.11</v>
      </c>
      <c r="P31" s="59">
        <f t="shared" si="4"/>
        <v>40.450000000000003</v>
      </c>
      <c r="R31" s="59">
        <f t="shared" si="3"/>
        <v>37.33</v>
      </c>
      <c r="T31" s="59">
        <f t="shared" si="7"/>
        <v>27.14</v>
      </c>
    </row>
    <row r="32" spans="1:20" ht="15" hidden="1" outlineLevel="1" thickBot="1">
      <c r="A32" s="54">
        <f t="shared" si="8"/>
        <v>25</v>
      </c>
      <c r="B32" s="59">
        <f>IF(ROUND(ROUND(('Loonschijven_Tranches salariale'!$Q32*0.65),4)*$X$1,2)&lt;$B$7,$B$7,ROUND(ROUND(('Loonschijven_Tranches salariale'!$Q32*0.65),4)*$X$1,2))</f>
        <v>67.41</v>
      </c>
      <c r="D32" s="59">
        <f>IF(ROUND(ROUND(('Loonschijven_Tranches salariale'!$Q32*0.6),4)*$X$1,2)&lt;$D$7,$D$7,ROUND(ROUND(('Loonschijven_Tranches salariale'!$Q32*0.6),4)*$X$1,2))</f>
        <v>62.22</v>
      </c>
      <c r="F32" s="59">
        <f t="shared" si="5"/>
        <v>80.89</v>
      </c>
      <c r="H32" s="59">
        <f t="shared" si="6"/>
        <v>74.66</v>
      </c>
      <c r="J32" s="59">
        <f>IF(ROUND(ROUND(('Loonschijven_Tranches salariale'!$Q32*0.65),4)*$X$1,2)&lt;J$7,J$7,IF('Loonschijven_Tranches salariale'!$Q32&lt;Basisbedragen!$C$26,ROUND(ROUND(('Loonschijven_Tranches salariale'!$Q32*0.65),4)*$X$1,2),ROUND(ROUND((Basisbedragen!$C$26*0.65),4)*$X$1,2)))</f>
        <v>54.28</v>
      </c>
      <c r="L32" s="59">
        <f t="shared" si="0"/>
        <v>33.71</v>
      </c>
      <c r="N32" s="59">
        <f t="shared" si="2"/>
        <v>31.11</v>
      </c>
      <c r="P32" s="59">
        <f t="shared" si="4"/>
        <v>40.450000000000003</v>
      </c>
      <c r="R32" s="59">
        <f t="shared" si="3"/>
        <v>37.33</v>
      </c>
      <c r="T32" s="59">
        <f t="shared" si="7"/>
        <v>27.14</v>
      </c>
    </row>
    <row r="33" spans="1:20" ht="15" hidden="1" outlineLevel="1" thickBot="1">
      <c r="A33" s="54">
        <f t="shared" si="8"/>
        <v>26</v>
      </c>
      <c r="B33" s="59">
        <f>IF(ROUND(ROUND(('Loonschijven_Tranches salariale'!$Q33*0.65),4)*$X$1,2)&lt;$B$7,$B$7,ROUND(ROUND(('Loonschijven_Tranches salariale'!$Q33*0.65),4)*$X$1,2))</f>
        <v>67.41</v>
      </c>
      <c r="D33" s="59">
        <f>IF(ROUND(ROUND(('Loonschijven_Tranches salariale'!$Q33*0.6),4)*$X$1,2)&lt;$D$7,$D$7,ROUND(ROUND(('Loonschijven_Tranches salariale'!$Q33*0.6),4)*$X$1,2))</f>
        <v>62.22</v>
      </c>
      <c r="F33" s="59">
        <f t="shared" si="5"/>
        <v>80.89</v>
      </c>
      <c r="H33" s="59">
        <f t="shared" si="6"/>
        <v>74.66</v>
      </c>
      <c r="J33" s="59">
        <f>IF(ROUND(ROUND(('Loonschijven_Tranches salariale'!$Q33*0.65),4)*$X$1,2)&lt;J$7,J$7,IF('Loonschijven_Tranches salariale'!$Q33&lt;Basisbedragen!$C$26,ROUND(ROUND(('Loonschijven_Tranches salariale'!$Q33*0.65),4)*$X$1,2),ROUND(ROUND((Basisbedragen!$C$26*0.65),4)*$X$1,2)))</f>
        <v>54.28</v>
      </c>
      <c r="L33" s="59">
        <f t="shared" si="0"/>
        <v>33.71</v>
      </c>
      <c r="N33" s="59">
        <f t="shared" si="2"/>
        <v>31.11</v>
      </c>
      <c r="P33" s="59">
        <f t="shared" si="4"/>
        <v>40.450000000000003</v>
      </c>
      <c r="R33" s="59">
        <f t="shared" si="3"/>
        <v>37.33</v>
      </c>
      <c r="T33" s="59">
        <f t="shared" si="7"/>
        <v>27.14</v>
      </c>
    </row>
    <row r="34" spans="1:20" ht="15" hidden="1" outlineLevel="1" thickBot="1">
      <c r="A34" s="54">
        <f t="shared" si="8"/>
        <v>27</v>
      </c>
      <c r="B34" s="59">
        <f>IF(ROUND(ROUND(('Loonschijven_Tranches salariale'!$Q34*0.65),4)*$X$1,2)&lt;$B$7,$B$7,ROUND(ROUND(('Loonschijven_Tranches salariale'!$Q34*0.65),4)*$X$1,2))</f>
        <v>67.41</v>
      </c>
      <c r="D34" s="59">
        <f>IF(ROUND(ROUND(('Loonschijven_Tranches salariale'!$Q34*0.6),4)*$X$1,2)&lt;$D$7,$D$7,ROUND(ROUND(('Loonschijven_Tranches salariale'!$Q34*0.6),4)*$X$1,2))</f>
        <v>62.22</v>
      </c>
      <c r="F34" s="59">
        <f t="shared" si="5"/>
        <v>80.89</v>
      </c>
      <c r="H34" s="59">
        <f t="shared" si="6"/>
        <v>74.66</v>
      </c>
      <c r="J34" s="59">
        <f>IF(ROUND(ROUND(('Loonschijven_Tranches salariale'!$Q34*0.65),4)*$X$1,2)&lt;J$7,J$7,IF('Loonschijven_Tranches salariale'!$Q34&lt;Basisbedragen!$C$26,ROUND(ROUND(('Loonschijven_Tranches salariale'!$Q34*0.65),4)*$X$1,2),ROUND(ROUND((Basisbedragen!$C$26*0.65),4)*$X$1,2)))</f>
        <v>54.28</v>
      </c>
      <c r="L34" s="59">
        <f t="shared" si="0"/>
        <v>33.71</v>
      </c>
      <c r="N34" s="59">
        <f t="shared" si="2"/>
        <v>31.11</v>
      </c>
      <c r="P34" s="59">
        <f t="shared" si="4"/>
        <v>40.450000000000003</v>
      </c>
      <c r="R34" s="59">
        <f t="shared" si="3"/>
        <v>37.33</v>
      </c>
      <c r="T34" s="59">
        <f t="shared" si="7"/>
        <v>27.14</v>
      </c>
    </row>
    <row r="35" spans="1:20" ht="15" hidden="1" outlineLevel="1" thickBot="1">
      <c r="A35" s="54">
        <f t="shared" si="8"/>
        <v>28</v>
      </c>
      <c r="B35" s="59">
        <f>IF(ROUND(ROUND(('Loonschijven_Tranches salariale'!$Q35*0.65),4)*$X$1,2)&lt;$B$7,$B$7,ROUND(ROUND(('Loonschijven_Tranches salariale'!$Q35*0.65),4)*$X$1,2))</f>
        <v>67.41</v>
      </c>
      <c r="D35" s="59">
        <f>IF(ROUND(ROUND(('Loonschijven_Tranches salariale'!$Q35*0.6),4)*$X$1,2)&lt;$D$7,$D$7,ROUND(ROUND(('Loonschijven_Tranches salariale'!$Q35*0.6),4)*$X$1,2))</f>
        <v>62.22</v>
      </c>
      <c r="F35" s="59">
        <f t="shared" si="5"/>
        <v>80.89</v>
      </c>
      <c r="H35" s="59">
        <f t="shared" si="6"/>
        <v>74.66</v>
      </c>
      <c r="J35" s="59">
        <f>IF(ROUND(ROUND(('Loonschijven_Tranches salariale'!$Q35*0.65),4)*$X$1,2)&lt;J$7,J$7,IF('Loonschijven_Tranches salariale'!$Q35&lt;Basisbedragen!$C$26,ROUND(ROUND(('Loonschijven_Tranches salariale'!$Q35*0.65),4)*$X$1,2),ROUND(ROUND((Basisbedragen!$C$26*0.65),4)*$X$1,2)))</f>
        <v>54.28</v>
      </c>
      <c r="L35" s="59">
        <f t="shared" si="0"/>
        <v>33.71</v>
      </c>
      <c r="N35" s="59">
        <f t="shared" si="2"/>
        <v>31.11</v>
      </c>
      <c r="P35" s="59">
        <f t="shared" si="4"/>
        <v>40.450000000000003</v>
      </c>
      <c r="R35" s="59">
        <f t="shared" si="3"/>
        <v>37.33</v>
      </c>
      <c r="T35" s="59">
        <f t="shared" si="7"/>
        <v>27.14</v>
      </c>
    </row>
    <row r="36" spans="1:20" ht="15" hidden="1" outlineLevel="1" thickBot="1">
      <c r="A36" s="54">
        <f t="shared" si="8"/>
        <v>29</v>
      </c>
      <c r="B36" s="59">
        <f>IF(ROUND(ROUND(('Loonschijven_Tranches salariale'!$Q36*0.65),4)*$X$1,2)&lt;$B$7,$B$7,ROUND(ROUND(('Loonschijven_Tranches salariale'!$Q36*0.65),4)*$X$1,2))</f>
        <v>67.41</v>
      </c>
      <c r="D36" s="59">
        <f>IF(ROUND(ROUND(('Loonschijven_Tranches salariale'!$Q36*0.6),4)*$X$1,2)&lt;$D$7,$D$7,ROUND(ROUND(('Loonschijven_Tranches salariale'!$Q36*0.6),4)*$X$1,2))</f>
        <v>62.22</v>
      </c>
      <c r="F36" s="59">
        <f t="shared" si="5"/>
        <v>80.89</v>
      </c>
      <c r="H36" s="59">
        <f t="shared" si="6"/>
        <v>74.66</v>
      </c>
      <c r="J36" s="59">
        <f>IF(ROUND(ROUND(('Loonschijven_Tranches salariale'!$Q36*0.65),4)*$X$1,2)&lt;J$7,J$7,IF('Loonschijven_Tranches salariale'!$Q36&lt;Basisbedragen!$C$26,ROUND(ROUND(('Loonschijven_Tranches salariale'!$Q36*0.65),4)*$X$1,2),ROUND(ROUND((Basisbedragen!$C$26*0.65),4)*$X$1,2)))</f>
        <v>54.28</v>
      </c>
      <c r="L36" s="59">
        <f t="shared" si="0"/>
        <v>33.71</v>
      </c>
      <c r="N36" s="59">
        <f t="shared" si="2"/>
        <v>31.11</v>
      </c>
      <c r="P36" s="59">
        <f t="shared" si="4"/>
        <v>40.450000000000003</v>
      </c>
      <c r="R36" s="59">
        <f t="shared" si="3"/>
        <v>37.33</v>
      </c>
      <c r="T36" s="59">
        <f t="shared" si="7"/>
        <v>27.14</v>
      </c>
    </row>
    <row r="37" spans="1:20" ht="15" hidden="1" outlineLevel="1" thickBot="1">
      <c r="A37" s="54">
        <f t="shared" si="8"/>
        <v>30</v>
      </c>
      <c r="B37" s="59">
        <f>IF(ROUND(ROUND(('Loonschijven_Tranches salariale'!$Q37*0.65),4)*$X$1,2)&lt;$B$7,$B$7,ROUND(ROUND(('Loonschijven_Tranches salariale'!$Q37*0.65),4)*$X$1,2))</f>
        <v>67.41</v>
      </c>
      <c r="D37" s="59">
        <f>IF(ROUND(ROUND(('Loonschijven_Tranches salariale'!$Q37*0.6),4)*$X$1,2)&lt;$D$7,$D$7,ROUND(ROUND(('Loonschijven_Tranches salariale'!$Q37*0.6),4)*$X$1,2))</f>
        <v>62.22</v>
      </c>
      <c r="F37" s="59">
        <f t="shared" si="5"/>
        <v>80.89</v>
      </c>
      <c r="H37" s="59">
        <f t="shared" si="6"/>
        <v>74.66</v>
      </c>
      <c r="J37" s="59">
        <f>IF(ROUND(ROUND(('Loonschijven_Tranches salariale'!$Q37*0.65),4)*$X$1,2)&lt;J$7,J$7,IF('Loonschijven_Tranches salariale'!$Q37&lt;Basisbedragen!$C$26,ROUND(ROUND(('Loonschijven_Tranches salariale'!$Q37*0.65),4)*$X$1,2),ROUND(ROUND((Basisbedragen!$C$26*0.65),4)*$X$1,2)))</f>
        <v>54.28</v>
      </c>
      <c r="L37" s="59">
        <f t="shared" si="0"/>
        <v>33.71</v>
      </c>
      <c r="N37" s="59">
        <f t="shared" si="2"/>
        <v>31.11</v>
      </c>
      <c r="P37" s="59">
        <f t="shared" si="4"/>
        <v>40.450000000000003</v>
      </c>
      <c r="R37" s="59">
        <f t="shared" si="3"/>
        <v>37.33</v>
      </c>
      <c r="T37" s="59">
        <f t="shared" si="7"/>
        <v>27.14</v>
      </c>
    </row>
    <row r="38" spans="1:20" ht="15" hidden="1" outlineLevel="1" thickBot="1">
      <c r="A38" s="54">
        <f t="shared" si="8"/>
        <v>31</v>
      </c>
      <c r="B38" s="59">
        <f>IF(ROUND(ROUND(('Loonschijven_Tranches salariale'!$Q38*0.65),4)*$X$1,2)&lt;$B$7,$B$7,ROUND(ROUND(('Loonschijven_Tranches salariale'!$Q38*0.65),4)*$X$1,2))</f>
        <v>67.41</v>
      </c>
      <c r="D38" s="59">
        <f>IF(ROUND(ROUND(('Loonschijven_Tranches salariale'!$Q38*0.6),4)*$X$1,2)&lt;$D$7,$D$7,ROUND(ROUND(('Loonschijven_Tranches salariale'!$Q38*0.6),4)*$X$1,2))</f>
        <v>62.22</v>
      </c>
      <c r="F38" s="59">
        <f t="shared" si="5"/>
        <v>80.89</v>
      </c>
      <c r="H38" s="59">
        <f t="shared" si="6"/>
        <v>74.66</v>
      </c>
      <c r="J38" s="59">
        <f>IF(ROUND(ROUND(('Loonschijven_Tranches salariale'!$Q38*0.65),4)*$X$1,2)&lt;J$7,J$7,IF('Loonschijven_Tranches salariale'!$Q38&lt;Basisbedragen!$C$26,ROUND(ROUND(('Loonschijven_Tranches salariale'!$Q38*0.65),4)*$X$1,2),ROUND(ROUND((Basisbedragen!$C$26*0.65),4)*$X$1,2)))</f>
        <v>54.28</v>
      </c>
      <c r="L38" s="59">
        <f t="shared" si="0"/>
        <v>33.71</v>
      </c>
      <c r="N38" s="59">
        <f t="shared" si="2"/>
        <v>31.11</v>
      </c>
      <c r="P38" s="59">
        <f t="shared" si="4"/>
        <v>40.450000000000003</v>
      </c>
      <c r="R38" s="59">
        <f t="shared" si="3"/>
        <v>37.33</v>
      </c>
      <c r="T38" s="59">
        <f t="shared" si="7"/>
        <v>27.14</v>
      </c>
    </row>
    <row r="39" spans="1:20" ht="15" hidden="1" outlineLevel="1" thickBot="1">
      <c r="A39" s="54">
        <f t="shared" si="8"/>
        <v>32</v>
      </c>
      <c r="B39" s="59">
        <f>IF(ROUND(ROUND(('Loonschijven_Tranches salariale'!$Q39*0.65),4)*$X$1,2)&lt;$B$7,$B$7,ROUND(ROUND(('Loonschijven_Tranches salariale'!$Q39*0.65),4)*$X$1,2))</f>
        <v>67.41</v>
      </c>
      <c r="D39" s="59">
        <f>IF(ROUND(ROUND(('Loonschijven_Tranches salariale'!$Q39*0.6),4)*$X$1,2)&lt;$D$7,$D$7,ROUND(ROUND(('Loonschijven_Tranches salariale'!$Q39*0.6),4)*$X$1,2))</f>
        <v>62.22</v>
      </c>
      <c r="F39" s="59">
        <f t="shared" si="5"/>
        <v>80.89</v>
      </c>
      <c r="H39" s="59">
        <f t="shared" si="6"/>
        <v>74.66</v>
      </c>
      <c r="J39" s="59">
        <f>IF(ROUND(ROUND(('Loonschijven_Tranches salariale'!$Q39*0.65),4)*$X$1,2)&lt;J$7,J$7,IF('Loonschijven_Tranches salariale'!$Q39&lt;Basisbedragen!$C$26,ROUND(ROUND(('Loonschijven_Tranches salariale'!$Q39*0.65),4)*$X$1,2),ROUND(ROUND((Basisbedragen!$C$26*0.65),4)*$X$1,2)))</f>
        <v>54.28</v>
      </c>
      <c r="L39" s="59">
        <f t="shared" ref="L39:L70" si="9">ROUND(B39/2,2)</f>
        <v>33.71</v>
      </c>
      <c r="N39" s="59">
        <f t="shared" si="2"/>
        <v>31.11</v>
      </c>
      <c r="P39" s="59">
        <f t="shared" si="4"/>
        <v>40.450000000000003</v>
      </c>
      <c r="R39" s="59">
        <f t="shared" ref="R39:R70" si="10">ROUND(H39/2,2)</f>
        <v>37.33</v>
      </c>
      <c r="T39" s="59">
        <f t="shared" si="7"/>
        <v>27.14</v>
      </c>
    </row>
    <row r="40" spans="1:20" ht="15" hidden="1" outlineLevel="1" thickBot="1">
      <c r="A40" s="54">
        <f t="shared" si="8"/>
        <v>33</v>
      </c>
      <c r="B40" s="59">
        <f>IF(ROUND(ROUND(('Loonschijven_Tranches salariale'!$Q40*0.65),4)*$X$1,2)&lt;$B$7,$B$7,ROUND(ROUND(('Loonschijven_Tranches salariale'!$Q40*0.65),4)*$X$1,2))</f>
        <v>67.41</v>
      </c>
      <c r="D40" s="59">
        <f>IF(ROUND(ROUND(('Loonschijven_Tranches salariale'!$Q40*0.6),4)*$X$1,2)&lt;$D$7,$D$7,ROUND(ROUND(('Loonschijven_Tranches salariale'!$Q40*0.6),4)*$X$1,2))</f>
        <v>62.22</v>
      </c>
      <c r="F40" s="59">
        <f t="shared" si="5"/>
        <v>80.89</v>
      </c>
      <c r="H40" s="59">
        <f t="shared" si="6"/>
        <v>74.66</v>
      </c>
      <c r="J40" s="59">
        <f>IF(ROUND(ROUND(('Loonschijven_Tranches salariale'!$Q40*0.65),4)*$X$1,2)&lt;J$7,J$7,IF('Loonschijven_Tranches salariale'!$Q40&lt;Basisbedragen!$C$26,ROUND(ROUND(('Loonschijven_Tranches salariale'!$Q40*0.65),4)*$X$1,2),ROUND(ROUND((Basisbedragen!$C$26*0.65),4)*$X$1,2)))</f>
        <v>54.28</v>
      </c>
      <c r="L40" s="59">
        <f t="shared" si="9"/>
        <v>33.71</v>
      </c>
      <c r="N40" s="59">
        <f t="shared" si="2"/>
        <v>31.11</v>
      </c>
      <c r="P40" s="59">
        <f t="shared" si="4"/>
        <v>40.450000000000003</v>
      </c>
      <c r="R40" s="59">
        <f t="shared" si="10"/>
        <v>37.33</v>
      </c>
      <c r="T40" s="59">
        <f t="shared" si="7"/>
        <v>27.14</v>
      </c>
    </row>
    <row r="41" spans="1:20" ht="15" hidden="1" outlineLevel="1" thickBot="1">
      <c r="A41" s="54">
        <f t="shared" si="8"/>
        <v>34</v>
      </c>
      <c r="B41" s="59">
        <f>IF(ROUND(ROUND(('Loonschijven_Tranches salariale'!$Q41*0.65),4)*$X$1,2)&lt;$B$7,$B$7,ROUND(ROUND(('Loonschijven_Tranches salariale'!$Q41*0.65),4)*$X$1,2))</f>
        <v>67.41</v>
      </c>
      <c r="D41" s="59">
        <f>IF(ROUND(ROUND(('Loonschijven_Tranches salariale'!$Q41*0.6),4)*$X$1,2)&lt;$D$7,$D$7,ROUND(ROUND(('Loonschijven_Tranches salariale'!$Q41*0.6),4)*$X$1,2))</f>
        <v>62.22</v>
      </c>
      <c r="F41" s="59">
        <f t="shared" si="5"/>
        <v>80.89</v>
      </c>
      <c r="H41" s="59">
        <f t="shared" si="6"/>
        <v>74.66</v>
      </c>
      <c r="J41" s="59">
        <f>IF(ROUND(ROUND(('Loonschijven_Tranches salariale'!$Q41*0.65),4)*$X$1,2)&lt;J$7,J$7,IF('Loonschijven_Tranches salariale'!$Q41&lt;Basisbedragen!$C$26,ROUND(ROUND(('Loonschijven_Tranches salariale'!$Q41*0.65),4)*$X$1,2),ROUND(ROUND((Basisbedragen!$C$26*0.65),4)*$X$1,2)))</f>
        <v>54.28</v>
      </c>
      <c r="L41" s="59">
        <f t="shared" si="9"/>
        <v>33.71</v>
      </c>
      <c r="N41" s="59">
        <f t="shared" si="2"/>
        <v>31.11</v>
      </c>
      <c r="P41" s="59">
        <f t="shared" si="4"/>
        <v>40.450000000000003</v>
      </c>
      <c r="R41" s="59">
        <f t="shared" si="10"/>
        <v>37.33</v>
      </c>
      <c r="T41" s="59">
        <f t="shared" si="7"/>
        <v>27.14</v>
      </c>
    </row>
    <row r="42" spans="1:20" ht="15" hidden="1" outlineLevel="1" thickBot="1">
      <c r="A42" s="54">
        <f t="shared" si="8"/>
        <v>35</v>
      </c>
      <c r="B42" s="59">
        <f>IF(ROUND(ROUND(('Loonschijven_Tranches salariale'!$Q42*0.65),4)*$X$1,2)&lt;$B$7,$B$7,ROUND(ROUND(('Loonschijven_Tranches salariale'!$Q42*0.65),4)*$X$1,2))</f>
        <v>67.41</v>
      </c>
      <c r="D42" s="59">
        <f>IF(ROUND(ROUND(('Loonschijven_Tranches salariale'!$Q42*0.6),4)*$X$1,2)&lt;$D$7,$D$7,ROUND(ROUND(('Loonschijven_Tranches salariale'!$Q42*0.6),4)*$X$1,2))</f>
        <v>62.22</v>
      </c>
      <c r="F42" s="59">
        <f t="shared" si="5"/>
        <v>80.89</v>
      </c>
      <c r="H42" s="59">
        <f t="shared" si="6"/>
        <v>74.66</v>
      </c>
      <c r="J42" s="59">
        <f>IF(ROUND(ROUND(('Loonschijven_Tranches salariale'!$Q42*0.65),4)*$X$1,2)&lt;J$7,J$7,IF('Loonschijven_Tranches salariale'!$Q42&lt;Basisbedragen!$C$26,ROUND(ROUND(('Loonschijven_Tranches salariale'!$Q42*0.65),4)*$X$1,2),ROUND(ROUND((Basisbedragen!$C$26*0.65),4)*$X$1,2)))</f>
        <v>54.28</v>
      </c>
      <c r="L42" s="59">
        <f t="shared" si="9"/>
        <v>33.71</v>
      </c>
      <c r="N42" s="59">
        <f t="shared" si="2"/>
        <v>31.11</v>
      </c>
      <c r="P42" s="59">
        <f t="shared" si="4"/>
        <v>40.450000000000003</v>
      </c>
      <c r="R42" s="59">
        <f t="shared" si="10"/>
        <v>37.33</v>
      </c>
      <c r="T42" s="59">
        <f t="shared" si="7"/>
        <v>27.14</v>
      </c>
    </row>
    <row r="43" spans="1:20" ht="15" hidden="1" outlineLevel="1" thickBot="1">
      <c r="A43" s="54">
        <f t="shared" si="8"/>
        <v>36</v>
      </c>
      <c r="B43" s="59">
        <f>IF(ROUND(ROUND(('Loonschijven_Tranches salariale'!$Q43*0.65),4)*$X$1,2)&lt;$B$7,$B$7,ROUND(ROUND(('Loonschijven_Tranches salariale'!$Q43*0.65),4)*$X$1,2))</f>
        <v>67.41</v>
      </c>
      <c r="D43" s="59">
        <f>IF(ROUND(ROUND(('Loonschijven_Tranches salariale'!$Q43*0.6),4)*$X$1,2)&lt;$D$7,$D$7,ROUND(ROUND(('Loonschijven_Tranches salariale'!$Q43*0.6),4)*$X$1,2))</f>
        <v>62.22</v>
      </c>
      <c r="F43" s="59">
        <f t="shared" si="5"/>
        <v>80.89</v>
      </c>
      <c r="H43" s="59">
        <f t="shared" si="6"/>
        <v>74.66</v>
      </c>
      <c r="J43" s="59">
        <f>IF(ROUND(ROUND(('Loonschijven_Tranches salariale'!$Q43*0.65),4)*$X$1,2)&lt;J$7,J$7,IF('Loonschijven_Tranches salariale'!$Q43&lt;Basisbedragen!$C$26,ROUND(ROUND(('Loonschijven_Tranches salariale'!$Q43*0.65),4)*$X$1,2),ROUND(ROUND((Basisbedragen!$C$26*0.65),4)*$X$1,2)))</f>
        <v>54.28</v>
      </c>
      <c r="L43" s="59">
        <f t="shared" si="9"/>
        <v>33.71</v>
      </c>
      <c r="N43" s="59">
        <f t="shared" si="2"/>
        <v>31.11</v>
      </c>
      <c r="P43" s="59">
        <f t="shared" si="4"/>
        <v>40.450000000000003</v>
      </c>
      <c r="R43" s="59">
        <f t="shared" si="10"/>
        <v>37.33</v>
      </c>
      <c r="T43" s="59">
        <f t="shared" si="7"/>
        <v>27.14</v>
      </c>
    </row>
    <row r="44" spans="1:20" ht="15" hidden="1" outlineLevel="1" thickBot="1">
      <c r="A44" s="54">
        <f t="shared" si="8"/>
        <v>37</v>
      </c>
      <c r="B44" s="59">
        <f>IF(ROUND(ROUND(('Loonschijven_Tranches salariale'!$Q44*0.65),4)*$X$1,2)&lt;$B$7,$B$7,ROUND(ROUND(('Loonschijven_Tranches salariale'!$Q44*0.65),4)*$X$1,2))</f>
        <v>67.41</v>
      </c>
      <c r="D44" s="59">
        <f>IF(ROUND(ROUND(('Loonschijven_Tranches salariale'!$Q44*0.6),4)*$X$1,2)&lt;$D$7,$D$7,ROUND(ROUND(('Loonschijven_Tranches salariale'!$Q44*0.6),4)*$X$1,2))</f>
        <v>62.22</v>
      </c>
      <c r="F44" s="59">
        <f t="shared" si="5"/>
        <v>80.89</v>
      </c>
      <c r="H44" s="59">
        <f t="shared" si="6"/>
        <v>74.66</v>
      </c>
      <c r="J44" s="59">
        <f>IF(ROUND(ROUND(('Loonschijven_Tranches salariale'!$Q44*0.65),4)*$X$1,2)&lt;J$7,J$7,IF('Loonschijven_Tranches salariale'!$Q44&lt;Basisbedragen!$C$26,ROUND(ROUND(('Loonschijven_Tranches salariale'!$Q44*0.65),4)*$X$1,2),ROUND(ROUND((Basisbedragen!$C$26*0.65),4)*$X$1,2)))</f>
        <v>54.28</v>
      </c>
      <c r="L44" s="59">
        <f t="shared" si="9"/>
        <v>33.71</v>
      </c>
      <c r="N44" s="59">
        <f t="shared" si="2"/>
        <v>31.11</v>
      </c>
      <c r="P44" s="59">
        <f t="shared" si="4"/>
        <v>40.450000000000003</v>
      </c>
      <c r="R44" s="59">
        <f t="shared" si="10"/>
        <v>37.33</v>
      </c>
      <c r="T44" s="59">
        <f t="shared" si="7"/>
        <v>27.14</v>
      </c>
    </row>
    <row r="45" spans="1:20" ht="15" hidden="1" outlineLevel="1" thickBot="1">
      <c r="A45" s="54">
        <f t="shared" si="8"/>
        <v>38</v>
      </c>
      <c r="B45" s="59">
        <f>IF(ROUND(ROUND(('Loonschijven_Tranches salariale'!$Q45*0.65),4)*$X$1,2)&lt;$B$7,$B$7,ROUND(ROUND(('Loonschijven_Tranches salariale'!$Q45*0.65),4)*$X$1,2))</f>
        <v>67.41</v>
      </c>
      <c r="D45" s="59">
        <f>IF(ROUND(ROUND(('Loonschijven_Tranches salariale'!$Q45*0.6),4)*$X$1,2)&lt;$D$7,$D$7,ROUND(ROUND(('Loonschijven_Tranches salariale'!$Q45*0.6),4)*$X$1,2))</f>
        <v>62.22</v>
      </c>
      <c r="F45" s="59">
        <f t="shared" si="5"/>
        <v>80.89</v>
      </c>
      <c r="H45" s="59">
        <f t="shared" si="6"/>
        <v>74.66</v>
      </c>
      <c r="J45" s="59">
        <f>IF(ROUND(ROUND(('Loonschijven_Tranches salariale'!$Q45*0.65),4)*$X$1,2)&lt;J$7,J$7,IF('Loonschijven_Tranches salariale'!$Q45&lt;Basisbedragen!$C$26,ROUND(ROUND(('Loonschijven_Tranches salariale'!$Q45*0.65),4)*$X$1,2),ROUND(ROUND((Basisbedragen!$C$26*0.65),4)*$X$1,2)))</f>
        <v>54.28</v>
      </c>
      <c r="L45" s="59">
        <f t="shared" si="9"/>
        <v>33.71</v>
      </c>
      <c r="N45" s="59">
        <f t="shared" si="2"/>
        <v>31.11</v>
      </c>
      <c r="P45" s="59">
        <f t="shared" si="4"/>
        <v>40.450000000000003</v>
      </c>
      <c r="R45" s="59">
        <f t="shared" si="10"/>
        <v>37.33</v>
      </c>
      <c r="T45" s="59">
        <f t="shared" si="7"/>
        <v>27.14</v>
      </c>
    </row>
    <row r="46" spans="1:20" ht="15" hidden="1" outlineLevel="1" thickBot="1">
      <c r="A46" s="54">
        <f t="shared" si="8"/>
        <v>39</v>
      </c>
      <c r="B46" s="59">
        <f>IF(ROUND(ROUND(('Loonschijven_Tranches salariale'!$Q46*0.65),4)*$X$1,2)&lt;$B$7,$B$7,ROUND(ROUND(('Loonschijven_Tranches salariale'!$Q46*0.65),4)*$X$1,2))</f>
        <v>67.41</v>
      </c>
      <c r="D46" s="59">
        <f>IF(ROUND(ROUND(('Loonschijven_Tranches salariale'!$Q46*0.6),4)*$X$1,2)&lt;$D$7,$D$7,ROUND(ROUND(('Loonschijven_Tranches salariale'!$Q46*0.6),4)*$X$1,2))</f>
        <v>62.22</v>
      </c>
      <c r="F46" s="59">
        <f t="shared" si="5"/>
        <v>80.89</v>
      </c>
      <c r="H46" s="59">
        <f t="shared" si="6"/>
        <v>74.66</v>
      </c>
      <c r="J46" s="59">
        <f>IF(ROUND(ROUND(('Loonschijven_Tranches salariale'!$Q46*0.65),4)*$X$1,2)&lt;J$7,J$7,IF('Loonschijven_Tranches salariale'!$Q46&lt;Basisbedragen!$C$26,ROUND(ROUND(('Loonschijven_Tranches salariale'!$Q46*0.65),4)*$X$1,2),ROUND(ROUND((Basisbedragen!$C$26*0.65),4)*$X$1,2)))</f>
        <v>54.28</v>
      </c>
      <c r="L46" s="59">
        <f t="shared" si="9"/>
        <v>33.71</v>
      </c>
      <c r="N46" s="59">
        <f t="shared" si="2"/>
        <v>31.11</v>
      </c>
      <c r="P46" s="59">
        <f t="shared" si="4"/>
        <v>40.450000000000003</v>
      </c>
      <c r="R46" s="59">
        <f t="shared" si="10"/>
        <v>37.33</v>
      </c>
      <c r="T46" s="59">
        <f t="shared" si="7"/>
        <v>27.14</v>
      </c>
    </row>
    <row r="47" spans="1:20" ht="15" hidden="1" outlineLevel="1" thickBot="1">
      <c r="A47" s="54">
        <f t="shared" si="8"/>
        <v>40</v>
      </c>
      <c r="B47" s="59">
        <f>IF(ROUND(ROUND(('Loonschijven_Tranches salariale'!$Q47*0.65),4)*$X$1,2)&lt;$B$7,$B$7,ROUND(ROUND(('Loonschijven_Tranches salariale'!$Q47*0.65),4)*$X$1,2))</f>
        <v>67.41</v>
      </c>
      <c r="D47" s="59">
        <f>IF(ROUND(ROUND(('Loonschijven_Tranches salariale'!$Q47*0.6),4)*$X$1,2)&lt;$D$7,$D$7,ROUND(ROUND(('Loonschijven_Tranches salariale'!$Q47*0.6),4)*$X$1,2))</f>
        <v>62.22</v>
      </c>
      <c r="F47" s="59">
        <f t="shared" si="5"/>
        <v>80.89</v>
      </c>
      <c r="H47" s="59">
        <f t="shared" si="6"/>
        <v>74.66</v>
      </c>
      <c r="J47" s="59">
        <f>IF(ROUND(ROUND(('Loonschijven_Tranches salariale'!$Q47*0.65),4)*$X$1,2)&lt;J$7,J$7,IF('Loonschijven_Tranches salariale'!$Q47&lt;Basisbedragen!$C$26,ROUND(ROUND(('Loonschijven_Tranches salariale'!$Q47*0.65),4)*$X$1,2),ROUND(ROUND((Basisbedragen!$C$26*0.65),4)*$X$1,2)))</f>
        <v>54.28</v>
      </c>
      <c r="L47" s="59">
        <f t="shared" si="9"/>
        <v>33.71</v>
      </c>
      <c r="N47" s="59">
        <f t="shared" si="2"/>
        <v>31.11</v>
      </c>
      <c r="P47" s="59">
        <f t="shared" si="4"/>
        <v>40.450000000000003</v>
      </c>
      <c r="R47" s="59">
        <f t="shared" si="10"/>
        <v>37.33</v>
      </c>
      <c r="T47" s="59">
        <f t="shared" si="7"/>
        <v>27.14</v>
      </c>
    </row>
    <row r="48" spans="1:20" ht="15" hidden="1" outlineLevel="1" thickBot="1">
      <c r="A48" s="54">
        <f t="shared" si="8"/>
        <v>41</v>
      </c>
      <c r="B48" s="59">
        <f>IF(ROUND(ROUND(('Loonschijven_Tranches salariale'!$Q48*0.65),4)*$X$1,2)&lt;$B$7,$B$7,ROUND(ROUND(('Loonschijven_Tranches salariale'!$Q48*0.65),4)*$X$1,2))</f>
        <v>67.41</v>
      </c>
      <c r="D48" s="59">
        <f>IF(ROUND(ROUND(('Loonschijven_Tranches salariale'!$Q48*0.6),4)*$X$1,2)&lt;$D$7,$D$7,ROUND(ROUND(('Loonschijven_Tranches salariale'!$Q48*0.6),4)*$X$1,2))</f>
        <v>62.22</v>
      </c>
      <c r="F48" s="59">
        <f t="shared" si="5"/>
        <v>80.89</v>
      </c>
      <c r="H48" s="59">
        <f t="shared" si="6"/>
        <v>74.66</v>
      </c>
      <c r="J48" s="59">
        <f>IF(ROUND(ROUND(('Loonschijven_Tranches salariale'!$Q48*0.65),4)*$X$1,2)&lt;J$7,J$7,IF('Loonschijven_Tranches salariale'!$Q48&lt;Basisbedragen!$C$26,ROUND(ROUND(('Loonschijven_Tranches salariale'!$Q48*0.65),4)*$X$1,2),ROUND(ROUND((Basisbedragen!$C$26*0.65),4)*$X$1,2)))</f>
        <v>54.28</v>
      </c>
      <c r="L48" s="59">
        <f t="shared" si="9"/>
        <v>33.71</v>
      </c>
      <c r="N48" s="59">
        <f t="shared" si="2"/>
        <v>31.11</v>
      </c>
      <c r="P48" s="59">
        <f t="shared" si="4"/>
        <v>40.450000000000003</v>
      </c>
      <c r="R48" s="59">
        <f t="shared" si="10"/>
        <v>37.33</v>
      </c>
      <c r="T48" s="59">
        <f t="shared" si="7"/>
        <v>27.14</v>
      </c>
    </row>
    <row r="49" spans="1:20" ht="15.6" hidden="1" customHeight="1" outlineLevel="1" thickBot="1">
      <c r="A49" s="54">
        <f t="shared" si="8"/>
        <v>42</v>
      </c>
      <c r="B49" s="59">
        <f>IF(ROUND(ROUND(('Loonschijven_Tranches salariale'!$Q49*0.65),4)*$X$1,2)&lt;$B$7,$B$7,ROUND(ROUND(('Loonschijven_Tranches salariale'!$Q49*0.65),4)*$X$1,2))</f>
        <v>67.41</v>
      </c>
      <c r="D49" s="59">
        <f>IF(ROUND(ROUND(('Loonschijven_Tranches salariale'!$Q49*0.6),4)*$X$1,2)&lt;$D$7,$D$7,ROUND(ROUND(('Loonschijven_Tranches salariale'!$Q49*0.6),4)*$X$1,2))</f>
        <v>62.22</v>
      </c>
      <c r="F49" s="59">
        <f t="shared" si="5"/>
        <v>80.89</v>
      </c>
      <c r="H49" s="59">
        <f t="shared" si="6"/>
        <v>74.66</v>
      </c>
      <c r="J49" s="59">
        <f>IF(ROUND(ROUND(('Loonschijven_Tranches salariale'!$Q49*0.65),4)*$X$1,2)&lt;J$7,J$7,IF('Loonschijven_Tranches salariale'!$Q49&lt;Basisbedragen!$C$26,ROUND(ROUND(('Loonschijven_Tranches salariale'!$Q49*0.65),4)*$X$1,2),ROUND(ROUND((Basisbedragen!$C$26*0.65),4)*$X$1,2)))</f>
        <v>54.28</v>
      </c>
      <c r="L49" s="59">
        <f t="shared" si="9"/>
        <v>33.71</v>
      </c>
      <c r="N49" s="59">
        <f t="shared" si="2"/>
        <v>31.11</v>
      </c>
      <c r="P49" s="59">
        <f t="shared" si="4"/>
        <v>40.450000000000003</v>
      </c>
      <c r="R49" s="59">
        <f t="shared" si="10"/>
        <v>37.33</v>
      </c>
      <c r="T49" s="59">
        <f t="shared" si="7"/>
        <v>27.14</v>
      </c>
    </row>
    <row r="50" spans="1:20" ht="15" hidden="1" outlineLevel="1" thickBot="1">
      <c r="A50" s="54">
        <f t="shared" si="8"/>
        <v>43</v>
      </c>
      <c r="B50" s="59">
        <f>IF(ROUND(ROUND(('Loonschijven_Tranches salariale'!$Q50*0.65),4)*$X$1,2)&lt;$B$7,$B$7,ROUND(ROUND(('Loonschijven_Tranches salariale'!$Q50*0.65),4)*$X$1,2))</f>
        <v>67.41</v>
      </c>
      <c r="D50" s="59">
        <f>IF(ROUND(ROUND(('Loonschijven_Tranches salariale'!$Q50*0.6),4)*$X$1,2)&lt;$D$7,$D$7,ROUND(ROUND(('Loonschijven_Tranches salariale'!$Q50*0.6),4)*$X$1,2))</f>
        <v>62.22</v>
      </c>
      <c r="F50" s="59">
        <f t="shared" si="5"/>
        <v>80.89</v>
      </c>
      <c r="H50" s="59">
        <f t="shared" si="6"/>
        <v>74.66</v>
      </c>
      <c r="J50" s="59">
        <f>IF(ROUND(ROUND(('Loonschijven_Tranches salariale'!$Q50*0.65),4)*$X$1,2)&lt;J$7,J$7,IF('Loonschijven_Tranches salariale'!$Q50&lt;Basisbedragen!$C$26,ROUND(ROUND(('Loonschijven_Tranches salariale'!$Q50*0.65),4)*$X$1,2),ROUND(ROUND((Basisbedragen!$C$26*0.65),4)*$X$1,2)))</f>
        <v>54.28</v>
      </c>
      <c r="L50" s="59">
        <f t="shared" si="9"/>
        <v>33.71</v>
      </c>
      <c r="N50" s="59">
        <f t="shared" si="2"/>
        <v>31.11</v>
      </c>
      <c r="P50" s="59">
        <f t="shared" si="4"/>
        <v>40.450000000000003</v>
      </c>
      <c r="R50" s="59">
        <f t="shared" si="10"/>
        <v>37.33</v>
      </c>
      <c r="T50" s="59">
        <f t="shared" si="7"/>
        <v>27.14</v>
      </c>
    </row>
    <row r="51" spans="1:20" ht="15" collapsed="1" thickBot="1">
      <c r="A51" s="54">
        <f t="shared" si="8"/>
        <v>44</v>
      </c>
      <c r="B51" s="59">
        <f>IF(ROUND(ROUND(('Loonschijven_Tranches salariale'!$Q51*0.65),4)*$X$1,2)&lt;$B$7,$B$7,ROUND(ROUND(('Loonschijven_Tranches salariale'!$Q51*0.65),4)*$X$1,2))</f>
        <v>67.41</v>
      </c>
      <c r="D51" s="59">
        <f>IF(ROUND(ROUND(('Loonschijven_Tranches salariale'!$Q51*0.6),4)*$X$1,2)&lt;$D$7,$D$7,ROUND(ROUND(('Loonschijven_Tranches salariale'!$Q51*0.6),4)*$X$1,2))</f>
        <v>62.22</v>
      </c>
      <c r="F51" s="59">
        <f t="shared" si="5"/>
        <v>80.89</v>
      </c>
      <c r="H51" s="59">
        <f t="shared" si="6"/>
        <v>74.66</v>
      </c>
      <c r="J51" s="59">
        <f>IF(ROUND(ROUND(('Loonschijven_Tranches salariale'!$Q51*0.65),4)*$X$1,2)&lt;J$7,J$7,IF('Loonschijven_Tranches salariale'!$Q51&lt;Basisbedragen!$C$26,ROUND(ROUND(('Loonschijven_Tranches salariale'!$Q51*0.65),4)*$X$1,2),ROUND(ROUND((Basisbedragen!$C$26*0.65),4)*$X$1,2)))</f>
        <v>54.7</v>
      </c>
      <c r="L51" s="59">
        <f t="shared" si="9"/>
        <v>33.71</v>
      </c>
      <c r="N51" s="59">
        <f t="shared" si="2"/>
        <v>31.11</v>
      </c>
      <c r="P51" s="59">
        <f t="shared" si="4"/>
        <v>40.450000000000003</v>
      </c>
      <c r="R51" s="59">
        <f t="shared" si="10"/>
        <v>37.33</v>
      </c>
      <c r="T51" s="59">
        <f t="shared" si="7"/>
        <v>27.35</v>
      </c>
    </row>
    <row r="52" spans="1:20" ht="15" thickBot="1">
      <c r="A52" s="54">
        <f t="shared" si="8"/>
        <v>45</v>
      </c>
      <c r="B52" s="59">
        <f>IF(ROUND(ROUND(('Loonschijven_Tranches salariale'!$Q52*0.65),4)*$X$1,2)&lt;$B$7,$B$7,ROUND(ROUND(('Loonschijven_Tranches salariale'!$Q52*0.65),4)*$X$1,2))</f>
        <v>67.41</v>
      </c>
      <c r="D52" s="59">
        <f>IF(ROUND(ROUND(('Loonschijven_Tranches salariale'!$Q52*0.6),4)*$X$1,2)&lt;$D$7,$D$7,ROUND(ROUND(('Loonschijven_Tranches salariale'!$Q52*0.6),4)*$X$1,2))</f>
        <v>62.22</v>
      </c>
      <c r="F52" s="59">
        <f t="shared" si="5"/>
        <v>80.89</v>
      </c>
      <c r="H52" s="59">
        <f t="shared" si="6"/>
        <v>74.66</v>
      </c>
      <c r="J52" s="59">
        <f>IF(ROUND(ROUND(('Loonschijven_Tranches salariale'!$Q52*0.65),4)*$X$1,2)&lt;J$7,J$7,IF('Loonschijven_Tranches salariale'!$Q52&lt;Basisbedragen!$C$26,ROUND(ROUND(('Loonschijven_Tranches salariale'!$Q52*0.65),4)*$X$1,2),ROUND(ROUND((Basisbedragen!$C$26*0.65),4)*$X$1,2)))</f>
        <v>55.68</v>
      </c>
      <c r="L52" s="59">
        <f t="shared" si="9"/>
        <v>33.71</v>
      </c>
      <c r="N52" s="59">
        <f t="shared" si="2"/>
        <v>31.11</v>
      </c>
      <c r="P52" s="59">
        <f t="shared" si="4"/>
        <v>40.450000000000003</v>
      </c>
      <c r="R52" s="59">
        <f t="shared" si="10"/>
        <v>37.33</v>
      </c>
      <c r="T52" s="59">
        <f t="shared" si="7"/>
        <v>27.84</v>
      </c>
    </row>
    <row r="53" spans="1:20" ht="15" thickBot="1">
      <c r="A53" s="54">
        <f t="shared" si="8"/>
        <v>46</v>
      </c>
      <c r="B53" s="59">
        <f>IF(ROUND(ROUND(('Loonschijven_Tranches salariale'!$Q53*0.65),4)*$X$1,2)&lt;$B$7,$B$7,ROUND(ROUND(('Loonschijven_Tranches salariale'!$Q53*0.65),4)*$X$1,2))</f>
        <v>67.41</v>
      </c>
      <c r="D53" s="59">
        <f>IF(ROUND(ROUND(('Loonschijven_Tranches salariale'!$Q53*0.6),4)*$X$1,2)&lt;$D$7,$D$7,ROUND(ROUND(('Loonschijven_Tranches salariale'!$Q53*0.6),4)*$X$1,2))</f>
        <v>62.22</v>
      </c>
      <c r="F53" s="59">
        <f t="shared" si="5"/>
        <v>80.89</v>
      </c>
      <c r="H53" s="59">
        <f t="shared" si="6"/>
        <v>74.66</v>
      </c>
      <c r="J53" s="59">
        <f>IF(ROUND(ROUND(('Loonschijven_Tranches salariale'!$Q53*0.65),4)*$X$1,2)&lt;J$7,J$7,IF('Loonschijven_Tranches salariale'!$Q53&lt;Basisbedragen!$C$26,ROUND(ROUND(('Loonschijven_Tranches salariale'!$Q53*0.65),4)*$X$1,2),ROUND(ROUND((Basisbedragen!$C$26*0.65),4)*$X$1,2)))</f>
        <v>56.65</v>
      </c>
      <c r="L53" s="59">
        <f t="shared" si="9"/>
        <v>33.71</v>
      </c>
      <c r="N53" s="59">
        <f t="shared" si="2"/>
        <v>31.11</v>
      </c>
      <c r="P53" s="59">
        <f t="shared" si="4"/>
        <v>40.450000000000003</v>
      </c>
      <c r="R53" s="59">
        <f t="shared" si="10"/>
        <v>37.33</v>
      </c>
      <c r="T53" s="59">
        <f t="shared" si="7"/>
        <v>28.33</v>
      </c>
    </row>
    <row r="54" spans="1:20" ht="15" thickBot="1">
      <c r="A54" s="54">
        <f t="shared" si="8"/>
        <v>47</v>
      </c>
      <c r="B54" s="59">
        <f>IF(ROUND(ROUND(('Loonschijven_Tranches salariale'!$Q54*0.65),4)*$X$1,2)&lt;$B$7,$B$7,ROUND(ROUND(('Loonschijven_Tranches salariale'!$Q54*0.65),4)*$X$1,2))</f>
        <v>67.41</v>
      </c>
      <c r="D54" s="59">
        <f>IF(ROUND(ROUND(('Loonschijven_Tranches salariale'!$Q54*0.6),4)*$X$1,2)&lt;$D$7,$D$7,ROUND(ROUND(('Loonschijven_Tranches salariale'!$Q54*0.6),4)*$X$1,2))</f>
        <v>62.22</v>
      </c>
      <c r="F54" s="59">
        <f t="shared" si="5"/>
        <v>80.89</v>
      </c>
      <c r="H54" s="59">
        <f t="shared" si="6"/>
        <v>74.66</v>
      </c>
      <c r="J54" s="59">
        <f>IF(ROUND(ROUND(('Loonschijven_Tranches salariale'!$Q54*0.65),4)*$X$1,2)&lt;J$7,J$7,IF('Loonschijven_Tranches salariale'!$Q54&lt;Basisbedragen!$C$26,ROUND(ROUND(('Loonschijven_Tranches salariale'!$Q54*0.65),4)*$X$1,2),ROUND(ROUND((Basisbedragen!$C$26*0.65),4)*$X$1,2)))</f>
        <v>57.63</v>
      </c>
      <c r="L54" s="59">
        <f t="shared" si="9"/>
        <v>33.71</v>
      </c>
      <c r="N54" s="59">
        <f t="shared" si="2"/>
        <v>31.11</v>
      </c>
      <c r="P54" s="59">
        <f t="shared" si="4"/>
        <v>40.450000000000003</v>
      </c>
      <c r="R54" s="59">
        <f t="shared" si="10"/>
        <v>37.33</v>
      </c>
      <c r="T54" s="59">
        <f t="shared" si="7"/>
        <v>28.82</v>
      </c>
    </row>
    <row r="55" spans="1:20" ht="15" thickBot="1">
      <c r="A55" s="54">
        <f t="shared" si="8"/>
        <v>48</v>
      </c>
      <c r="B55" s="59">
        <f>IF(ROUND(ROUND(('Loonschijven_Tranches salariale'!$Q55*0.65),4)*$X$1,2)&lt;$B$7,$B$7,ROUND(ROUND(('Loonschijven_Tranches salariale'!$Q55*0.65),4)*$X$1,2))</f>
        <v>67.41</v>
      </c>
      <c r="D55" s="59">
        <f>IF(ROUND(ROUND(('Loonschijven_Tranches salariale'!$Q55*0.6),4)*$X$1,2)&lt;$D$7,$D$7,ROUND(ROUND(('Loonschijven_Tranches salariale'!$Q55*0.6),4)*$X$1,2))</f>
        <v>62.22</v>
      </c>
      <c r="F55" s="59">
        <f t="shared" si="5"/>
        <v>80.89</v>
      </c>
      <c r="H55" s="59">
        <f t="shared" si="6"/>
        <v>74.66</v>
      </c>
      <c r="J55" s="59">
        <f>IF(ROUND(ROUND(('Loonschijven_Tranches salariale'!$Q55*0.65),4)*$X$1,2)&lt;J$7,J$7,IF('Loonschijven_Tranches salariale'!$Q55&lt;Basisbedragen!$C$26,ROUND(ROUND(('Loonschijven_Tranches salariale'!$Q55*0.65),4)*$X$1,2),ROUND(ROUND((Basisbedragen!$C$26*0.65),4)*$X$1,2)))</f>
        <v>58.61</v>
      </c>
      <c r="L55" s="59">
        <f t="shared" si="9"/>
        <v>33.71</v>
      </c>
      <c r="N55" s="59">
        <f t="shared" si="2"/>
        <v>31.11</v>
      </c>
      <c r="P55" s="59">
        <f t="shared" si="4"/>
        <v>40.450000000000003</v>
      </c>
      <c r="R55" s="59">
        <f t="shared" si="10"/>
        <v>37.33</v>
      </c>
      <c r="T55" s="59">
        <f t="shared" si="7"/>
        <v>29.31</v>
      </c>
    </row>
    <row r="56" spans="1:20" ht="15" thickBot="1">
      <c r="A56" s="54">
        <f t="shared" si="8"/>
        <v>49</v>
      </c>
      <c r="B56" s="59">
        <f>IF(ROUND(ROUND(('Loonschijven_Tranches salariale'!$Q56*0.65),4)*$X$1,2)&lt;$B$7,$B$7,ROUND(ROUND(('Loonschijven_Tranches salariale'!$Q56*0.65),4)*$X$1,2))</f>
        <v>67.41</v>
      </c>
      <c r="D56" s="59">
        <f>IF(ROUND(ROUND(('Loonschijven_Tranches salariale'!$Q56*0.6),4)*$X$1,2)&lt;$D$7,$D$7,ROUND(ROUND(('Loonschijven_Tranches salariale'!$Q56*0.6),4)*$X$1,2))</f>
        <v>62.22</v>
      </c>
      <c r="F56" s="59">
        <f t="shared" si="5"/>
        <v>80.89</v>
      </c>
      <c r="H56" s="59">
        <f t="shared" si="6"/>
        <v>74.66</v>
      </c>
      <c r="J56" s="59">
        <f>IF(ROUND(ROUND(('Loonschijven_Tranches salariale'!$Q56*0.65),4)*$X$1,2)&lt;J$7,J$7,IF('Loonschijven_Tranches salariale'!$Q56&lt;Basisbedragen!$C$26,ROUND(ROUND(('Loonschijven_Tranches salariale'!$Q56*0.65),4)*$X$1,2),ROUND(ROUND((Basisbedragen!$C$26*0.65),4)*$X$1,2)))</f>
        <v>59.58</v>
      </c>
      <c r="L56" s="59">
        <f t="shared" si="9"/>
        <v>33.71</v>
      </c>
      <c r="N56" s="59">
        <f t="shared" si="2"/>
        <v>31.11</v>
      </c>
      <c r="P56" s="59">
        <f t="shared" si="4"/>
        <v>40.450000000000003</v>
      </c>
      <c r="R56" s="59">
        <f t="shared" si="10"/>
        <v>37.33</v>
      </c>
      <c r="T56" s="59">
        <f t="shared" si="7"/>
        <v>29.79</v>
      </c>
    </row>
    <row r="57" spans="1:20" ht="15" thickBot="1">
      <c r="A57" s="54">
        <f t="shared" si="8"/>
        <v>50</v>
      </c>
      <c r="B57" s="59">
        <f>IF(ROUND(ROUND(('Loonschijven_Tranches salariale'!$Q57*0.65),4)*$X$1,2)&lt;$B$7,$B$7,ROUND(ROUND(('Loonschijven_Tranches salariale'!$Q57*0.65),4)*$X$1,2))</f>
        <v>67.41</v>
      </c>
      <c r="D57" s="59">
        <f>IF(ROUND(ROUND(('Loonschijven_Tranches salariale'!$Q57*0.6),4)*$X$1,2)&lt;$D$7,$D$7,ROUND(ROUND(('Loonschijven_Tranches salariale'!$Q57*0.6),4)*$X$1,2))</f>
        <v>62.22</v>
      </c>
      <c r="F57" s="59">
        <f t="shared" si="5"/>
        <v>80.89</v>
      </c>
      <c r="H57" s="59">
        <f t="shared" si="6"/>
        <v>74.66</v>
      </c>
      <c r="J57" s="59">
        <f>IF(ROUND(ROUND(('Loonschijven_Tranches salariale'!$Q57*0.65),4)*$X$1,2)&lt;J$7,J$7,IF('Loonschijven_Tranches salariale'!$Q57&lt;Basisbedragen!$C$26,ROUND(ROUND(('Loonschijven_Tranches salariale'!$Q57*0.65),4)*$X$1,2),ROUND(ROUND((Basisbedragen!$C$26*0.65),4)*$X$1,2)))</f>
        <v>60.56</v>
      </c>
      <c r="L57" s="59">
        <f t="shared" si="9"/>
        <v>33.71</v>
      </c>
      <c r="N57" s="59">
        <f t="shared" si="2"/>
        <v>31.11</v>
      </c>
      <c r="P57" s="59">
        <f t="shared" si="4"/>
        <v>40.450000000000003</v>
      </c>
      <c r="R57" s="59">
        <f t="shared" si="10"/>
        <v>37.33</v>
      </c>
      <c r="T57" s="59">
        <f t="shared" si="7"/>
        <v>30.28</v>
      </c>
    </row>
    <row r="58" spans="1:20" ht="15" thickBot="1">
      <c r="A58" s="54">
        <f t="shared" si="8"/>
        <v>51</v>
      </c>
      <c r="B58" s="59">
        <f>IF(ROUND(ROUND(('Loonschijven_Tranches salariale'!$Q58*0.65),4)*$X$1,2)&lt;$B$7,$B$7,ROUND(ROUND(('Loonschijven_Tranches salariale'!$Q58*0.65),4)*$X$1,2))</f>
        <v>67.41</v>
      </c>
      <c r="D58" s="59">
        <f>IF(ROUND(ROUND(('Loonschijven_Tranches salariale'!$Q58*0.6),4)*$X$1,2)&lt;$D$7,$D$7,ROUND(ROUND(('Loonschijven_Tranches salariale'!$Q58*0.6),4)*$X$1,2))</f>
        <v>62.22</v>
      </c>
      <c r="F58" s="59">
        <f t="shared" si="5"/>
        <v>80.89</v>
      </c>
      <c r="H58" s="59">
        <f t="shared" si="6"/>
        <v>74.66</v>
      </c>
      <c r="J58" s="59">
        <f>IF(ROUND(ROUND(('Loonschijven_Tranches salariale'!$Q58*0.65),4)*$X$1,2)&lt;J$7,J$7,IF('Loonschijven_Tranches salariale'!$Q58&lt;Basisbedragen!$C$26,ROUND(ROUND(('Loonschijven_Tranches salariale'!$Q58*0.65),4)*$X$1,2),ROUND(ROUND((Basisbedragen!$C$26*0.65),4)*$X$1,2)))</f>
        <v>61.54</v>
      </c>
      <c r="L58" s="59">
        <f t="shared" si="9"/>
        <v>33.71</v>
      </c>
      <c r="N58" s="59">
        <f t="shared" si="2"/>
        <v>31.11</v>
      </c>
      <c r="P58" s="59">
        <f t="shared" si="4"/>
        <v>40.450000000000003</v>
      </c>
      <c r="R58" s="59">
        <f t="shared" si="10"/>
        <v>37.33</v>
      </c>
      <c r="T58" s="59">
        <f t="shared" si="7"/>
        <v>30.77</v>
      </c>
    </row>
    <row r="59" spans="1:20" ht="15" thickBot="1">
      <c r="A59" s="54">
        <f t="shared" si="8"/>
        <v>52</v>
      </c>
      <c r="B59" s="59">
        <f>IF(ROUND(ROUND(('Loonschijven_Tranches salariale'!$Q59*0.65),4)*$X$1,2)&lt;$B$7,$B$7,ROUND(ROUND(('Loonschijven_Tranches salariale'!$Q59*0.65),4)*$X$1,2))</f>
        <v>67.41</v>
      </c>
      <c r="D59" s="59">
        <f>IF(ROUND(ROUND(('Loonschijven_Tranches salariale'!$Q59*0.6),4)*$X$1,2)&lt;$D$7,$D$7,ROUND(ROUND(('Loonschijven_Tranches salariale'!$Q59*0.6),4)*$X$1,2))</f>
        <v>62.22</v>
      </c>
      <c r="F59" s="59">
        <f t="shared" si="5"/>
        <v>80.89</v>
      </c>
      <c r="H59" s="59">
        <f t="shared" si="6"/>
        <v>74.66</v>
      </c>
      <c r="J59" s="59">
        <f>IF(ROUND(ROUND(('Loonschijven_Tranches salariale'!$Q59*0.65),4)*$X$1,2)&lt;J$7,J$7,IF('Loonschijven_Tranches salariale'!$Q59&lt;Basisbedragen!$C$26,ROUND(ROUND(('Loonschijven_Tranches salariale'!$Q59*0.65),4)*$X$1,2),ROUND(ROUND((Basisbedragen!$C$26*0.65),4)*$X$1,2)))</f>
        <v>62.51</v>
      </c>
      <c r="L59" s="59">
        <f t="shared" si="9"/>
        <v>33.71</v>
      </c>
      <c r="N59" s="59">
        <f t="shared" si="2"/>
        <v>31.11</v>
      </c>
      <c r="P59" s="59">
        <f t="shared" si="4"/>
        <v>40.450000000000003</v>
      </c>
      <c r="R59" s="59">
        <f t="shared" si="10"/>
        <v>37.33</v>
      </c>
      <c r="T59" s="59">
        <f t="shared" si="7"/>
        <v>31.26</v>
      </c>
    </row>
    <row r="60" spans="1:20" ht="15" thickBot="1">
      <c r="A60" s="54">
        <f t="shared" si="8"/>
        <v>53</v>
      </c>
      <c r="B60" s="59">
        <f>IF(ROUND(ROUND(('Loonschijven_Tranches salariale'!$Q60*0.65),4)*$X$1,2)&lt;$B$7,$B$7,ROUND(ROUND(('Loonschijven_Tranches salariale'!$Q60*0.65),4)*$X$1,2))</f>
        <v>67.41</v>
      </c>
      <c r="D60" s="59">
        <f>IF(ROUND(ROUND(('Loonschijven_Tranches salariale'!$Q60*0.6),4)*$X$1,2)&lt;$D$7,$D$7,ROUND(ROUND(('Loonschijven_Tranches salariale'!$Q60*0.6),4)*$X$1,2))</f>
        <v>62.22</v>
      </c>
      <c r="F60" s="59">
        <f t="shared" si="5"/>
        <v>80.89</v>
      </c>
      <c r="H60" s="59">
        <f t="shared" si="6"/>
        <v>74.66</v>
      </c>
      <c r="J60" s="59">
        <f>IF(ROUND(ROUND(('Loonschijven_Tranches salariale'!$Q60*0.65),4)*$X$1,2)&lt;J$7,J$7,IF('Loonschijven_Tranches salariale'!$Q60&lt;Basisbedragen!$C$26,ROUND(ROUND(('Loonschijven_Tranches salariale'!$Q60*0.65),4)*$X$1,2),ROUND(ROUND((Basisbedragen!$C$26*0.65),4)*$X$1,2)))</f>
        <v>63.49</v>
      </c>
      <c r="L60" s="59">
        <f t="shared" si="9"/>
        <v>33.71</v>
      </c>
      <c r="N60" s="59">
        <f t="shared" si="2"/>
        <v>31.11</v>
      </c>
      <c r="P60" s="59">
        <f t="shared" si="4"/>
        <v>40.450000000000003</v>
      </c>
      <c r="R60" s="59">
        <f t="shared" si="10"/>
        <v>37.33</v>
      </c>
      <c r="T60" s="59">
        <f t="shared" si="7"/>
        <v>31.75</v>
      </c>
    </row>
    <row r="61" spans="1:20" ht="15" thickBot="1">
      <c r="A61" s="54">
        <f t="shared" si="8"/>
        <v>54</v>
      </c>
      <c r="B61" s="59">
        <f>IF(ROUND(ROUND(('Loonschijven_Tranches salariale'!$Q61*0.65),4)*$X$1,2)&lt;$B$7,$B$7,ROUND(ROUND(('Loonschijven_Tranches salariale'!$Q61*0.65),4)*$X$1,2))</f>
        <v>67.41</v>
      </c>
      <c r="D61" s="59">
        <f>IF(ROUND(ROUND(('Loonschijven_Tranches salariale'!$Q61*0.6),4)*$X$1,2)&lt;$D$7,$D$7,ROUND(ROUND(('Loonschijven_Tranches salariale'!$Q61*0.6),4)*$X$1,2))</f>
        <v>62.22</v>
      </c>
      <c r="F61" s="59">
        <f t="shared" si="5"/>
        <v>80.89</v>
      </c>
      <c r="H61" s="59">
        <f t="shared" si="6"/>
        <v>74.66</v>
      </c>
      <c r="J61" s="59">
        <f>IF(ROUND(ROUND(('Loonschijven_Tranches salariale'!$Q61*0.65),4)*$X$1,2)&lt;J$7,J$7,IF('Loonschijven_Tranches salariale'!$Q61&lt;Basisbedragen!$C$26,ROUND(ROUND(('Loonschijven_Tranches salariale'!$Q61*0.65),4)*$X$1,2),ROUND(ROUND((Basisbedragen!$C$26*0.65),4)*$X$1,2)))</f>
        <v>63.98</v>
      </c>
      <c r="L61" s="59">
        <f t="shared" si="9"/>
        <v>33.71</v>
      </c>
      <c r="N61" s="59">
        <f t="shared" si="2"/>
        <v>31.11</v>
      </c>
      <c r="P61" s="59">
        <f t="shared" si="4"/>
        <v>40.450000000000003</v>
      </c>
      <c r="R61" s="59">
        <f t="shared" si="10"/>
        <v>37.33</v>
      </c>
      <c r="T61" s="59">
        <f t="shared" si="7"/>
        <v>31.99</v>
      </c>
    </row>
    <row r="62" spans="1:20" ht="15" thickBot="1">
      <c r="A62" s="54">
        <f t="shared" si="8"/>
        <v>55</v>
      </c>
      <c r="B62" s="59">
        <f>IF(ROUND(ROUND(('Loonschijven_Tranches salariale'!$Q62*0.65),4)*$X$1,2)&lt;$B$7,$B$7,ROUND(ROUND(('Loonschijven_Tranches salariale'!$Q62*0.65),4)*$X$1,2))</f>
        <v>67.41</v>
      </c>
      <c r="D62" s="59">
        <f>IF(ROUND(ROUND(('Loonschijven_Tranches salariale'!$Q62*0.6),4)*$X$1,2)&lt;$D$7,$D$7,ROUND(ROUND(('Loonschijven_Tranches salariale'!$Q62*0.6),4)*$X$1,2))</f>
        <v>62.22</v>
      </c>
      <c r="F62" s="59">
        <f t="shared" si="5"/>
        <v>80.89</v>
      </c>
      <c r="H62" s="59">
        <f t="shared" si="6"/>
        <v>74.66</v>
      </c>
      <c r="J62" s="59">
        <f>IF(ROUND(ROUND(('Loonschijven_Tranches salariale'!$Q62*0.65),4)*$X$1,2)&lt;J$7,J$7,IF('Loonschijven_Tranches salariale'!$Q62&lt;Basisbedragen!$C$26,ROUND(ROUND(('Loonschijven_Tranches salariale'!$Q62*0.65),4)*$X$1,2),ROUND(ROUND((Basisbedragen!$C$26*0.65),4)*$X$1,2)))</f>
        <v>64.47</v>
      </c>
      <c r="L62" s="59">
        <f t="shared" si="9"/>
        <v>33.71</v>
      </c>
      <c r="N62" s="59">
        <f t="shared" si="2"/>
        <v>31.11</v>
      </c>
      <c r="P62" s="59">
        <f t="shared" si="4"/>
        <v>40.450000000000003</v>
      </c>
      <c r="R62" s="59">
        <f t="shared" si="10"/>
        <v>37.33</v>
      </c>
      <c r="T62" s="59">
        <f t="shared" si="7"/>
        <v>32.24</v>
      </c>
    </row>
    <row r="63" spans="1:20" ht="15" thickBot="1">
      <c r="A63" s="54">
        <f t="shared" si="8"/>
        <v>56</v>
      </c>
      <c r="B63" s="59">
        <f>IF(ROUND(ROUND(('Loonschijven_Tranches salariale'!$Q63*0.65),4)*$X$1,2)&lt;$B$7,$B$7,ROUND(ROUND(('Loonschijven_Tranches salariale'!$Q63*0.65),4)*$X$1,2))</f>
        <v>67.41</v>
      </c>
      <c r="D63" s="59">
        <f>IF(ROUND(ROUND(('Loonschijven_Tranches salariale'!$Q63*0.6),4)*$X$1,2)&lt;$D$7,$D$7,ROUND(ROUND(('Loonschijven_Tranches salariale'!$Q63*0.6),4)*$X$1,2))</f>
        <v>62.22</v>
      </c>
      <c r="F63" s="59">
        <f t="shared" si="5"/>
        <v>80.89</v>
      </c>
      <c r="H63" s="59">
        <f t="shared" si="6"/>
        <v>74.66</v>
      </c>
      <c r="J63" s="59">
        <f>IF(ROUND(ROUND(('Loonschijven_Tranches salariale'!$Q63*0.65),4)*$X$1,2)&lt;J$7,J$7,IF('Loonschijven_Tranches salariale'!$Q63&lt;Basisbedragen!$C$26,ROUND(ROUND(('Loonschijven_Tranches salariale'!$Q63*0.65),4)*$X$1,2),ROUND(ROUND((Basisbedragen!$C$26*0.65),4)*$X$1,2)))</f>
        <v>65.44</v>
      </c>
      <c r="L63" s="59">
        <f t="shared" si="9"/>
        <v>33.71</v>
      </c>
      <c r="N63" s="59">
        <f t="shared" si="2"/>
        <v>31.11</v>
      </c>
      <c r="P63" s="59">
        <f t="shared" si="4"/>
        <v>40.450000000000003</v>
      </c>
      <c r="R63" s="59">
        <f t="shared" si="10"/>
        <v>37.33</v>
      </c>
      <c r="T63" s="59">
        <f t="shared" si="7"/>
        <v>32.72</v>
      </c>
    </row>
    <row r="64" spans="1:20" ht="15" thickBot="1">
      <c r="A64" s="54">
        <f t="shared" si="8"/>
        <v>57</v>
      </c>
      <c r="B64" s="59">
        <f>IF(ROUND(ROUND(('Loonschijven_Tranches salariale'!$Q64*0.65),4)*$X$1,2)&lt;$B$7,$B$7,ROUND(ROUND(('Loonschijven_Tranches salariale'!$Q64*0.65),4)*$X$1,2))</f>
        <v>67.41</v>
      </c>
      <c r="D64" s="59">
        <f>IF(ROUND(ROUND(('Loonschijven_Tranches salariale'!$Q64*0.6),4)*$X$1,2)&lt;$D$7,$D$7,ROUND(ROUND(('Loonschijven_Tranches salariale'!$Q64*0.6),4)*$X$1,2))</f>
        <v>62.22</v>
      </c>
      <c r="F64" s="59">
        <f t="shared" si="5"/>
        <v>80.89</v>
      </c>
      <c r="H64" s="59">
        <f t="shared" si="6"/>
        <v>74.66</v>
      </c>
      <c r="J64" s="59">
        <f>IF(ROUND(ROUND(('Loonschijven_Tranches salariale'!$Q64*0.65),4)*$X$1,2)&lt;J$7,J$7,IF('Loonschijven_Tranches salariale'!$Q64&lt;Basisbedragen!$C$26,ROUND(ROUND(('Loonschijven_Tranches salariale'!$Q64*0.65),4)*$X$1,2),ROUND(ROUND((Basisbedragen!$C$26*0.65),4)*$X$1,2)))</f>
        <v>66.42</v>
      </c>
      <c r="L64" s="59">
        <f t="shared" si="9"/>
        <v>33.71</v>
      </c>
      <c r="N64" s="59">
        <f t="shared" si="2"/>
        <v>31.11</v>
      </c>
      <c r="P64" s="59">
        <f t="shared" si="4"/>
        <v>40.450000000000003</v>
      </c>
      <c r="R64" s="59">
        <f t="shared" si="10"/>
        <v>37.33</v>
      </c>
      <c r="T64" s="59">
        <f t="shared" si="7"/>
        <v>33.21</v>
      </c>
    </row>
    <row r="65" spans="1:20" ht="15" thickBot="1">
      <c r="A65" s="54">
        <f t="shared" si="8"/>
        <v>58</v>
      </c>
      <c r="B65" s="59">
        <f>IF(ROUND(ROUND(('Loonschijven_Tranches salariale'!$Q65*0.65),4)*$X$1,2)&lt;$B$7,$B$7,ROUND(ROUND(('Loonschijven_Tranches salariale'!$Q65*0.65),4)*$X$1,2))</f>
        <v>67.41</v>
      </c>
      <c r="D65" s="59">
        <f>IF(ROUND(ROUND(('Loonschijven_Tranches salariale'!$Q65*0.6),4)*$X$1,2)&lt;$D$7,$D$7,ROUND(ROUND(('Loonschijven_Tranches salariale'!$Q65*0.6),4)*$X$1,2))</f>
        <v>62.22</v>
      </c>
      <c r="F65" s="59">
        <f t="shared" si="5"/>
        <v>80.89</v>
      </c>
      <c r="H65" s="59">
        <f t="shared" si="6"/>
        <v>74.66</v>
      </c>
      <c r="J65" s="59">
        <f>IF(ROUND(ROUND(('Loonschijven_Tranches salariale'!$Q65*0.65),4)*$X$1,2)&lt;J$7,J$7,IF('Loonschijven_Tranches salariale'!$Q65&lt;Basisbedragen!$C$26,ROUND(ROUND(('Loonschijven_Tranches salariale'!$Q65*0.65),4)*$X$1,2),ROUND(ROUND((Basisbedragen!$C$26*0.65),4)*$X$1,2)))</f>
        <v>67.400000000000006</v>
      </c>
      <c r="L65" s="59">
        <f t="shared" si="9"/>
        <v>33.71</v>
      </c>
      <c r="N65" s="59">
        <f t="shared" si="2"/>
        <v>31.11</v>
      </c>
      <c r="P65" s="59">
        <f t="shared" si="4"/>
        <v>40.450000000000003</v>
      </c>
      <c r="R65" s="59">
        <f t="shared" si="10"/>
        <v>37.33</v>
      </c>
      <c r="T65" s="59">
        <f t="shared" si="7"/>
        <v>33.700000000000003</v>
      </c>
    </row>
    <row r="66" spans="1:20" ht="15" thickBot="1">
      <c r="A66" s="54">
        <f t="shared" si="8"/>
        <v>59</v>
      </c>
      <c r="B66" s="59">
        <f>IF(ROUND(ROUND(('Loonschijven_Tranches salariale'!$Q66*0.65),4)*$X$1,2)&lt;$B$7,$B$7,ROUND(ROUND(('Loonschijven_Tranches salariale'!$Q66*0.65),4)*$X$1,2))</f>
        <v>68.62</v>
      </c>
      <c r="D66" s="59">
        <f>IF(ROUND(ROUND(('Loonschijven_Tranches salariale'!$Q66*0.6),4)*$X$1,2)&lt;$D$7,$D$7,ROUND(ROUND(('Loonschijven_Tranches salariale'!$Q66*0.6),4)*$X$1,2))</f>
        <v>63.34</v>
      </c>
      <c r="F66" s="59">
        <f t="shared" si="5"/>
        <v>82.34</v>
      </c>
      <c r="H66" s="59">
        <f t="shared" si="6"/>
        <v>76.010000000000005</v>
      </c>
      <c r="J66" s="59">
        <f>IF(ROUND(ROUND(('Loonschijven_Tranches salariale'!$Q66*0.65),4)*$X$1,2)&lt;J$7,J$7,IF('Loonschijven_Tranches salariale'!$Q66&lt;Basisbedragen!$C$26,ROUND(ROUND(('Loonschijven_Tranches salariale'!$Q66*0.65),4)*$X$1,2),ROUND(ROUND((Basisbedragen!$C$26*0.65),4)*$X$1,2)))</f>
        <v>68.62</v>
      </c>
      <c r="L66" s="59">
        <f t="shared" si="9"/>
        <v>34.31</v>
      </c>
      <c r="N66" s="59">
        <f t="shared" si="2"/>
        <v>31.67</v>
      </c>
      <c r="P66" s="59">
        <f t="shared" si="4"/>
        <v>41.17</v>
      </c>
      <c r="R66" s="59">
        <f t="shared" si="10"/>
        <v>38.01</v>
      </c>
      <c r="T66" s="59">
        <f t="shared" si="7"/>
        <v>34.31</v>
      </c>
    </row>
    <row r="67" spans="1:20" ht="15" thickBot="1">
      <c r="A67" s="54">
        <f t="shared" si="8"/>
        <v>60</v>
      </c>
      <c r="B67" s="59">
        <f>IF(ROUND(ROUND(('Loonschijven_Tranches salariale'!$Q67*0.65),4)*$X$1,2)&lt;$B$7,$B$7,ROUND(ROUND(('Loonschijven_Tranches salariale'!$Q67*0.65),4)*$X$1,2))</f>
        <v>69.47</v>
      </c>
      <c r="D67" s="59">
        <f>IF(ROUND(ROUND(('Loonschijven_Tranches salariale'!$Q67*0.6),4)*$X$1,2)&lt;$D$7,$D$7,ROUND(ROUND(('Loonschijven_Tranches salariale'!$Q67*0.6),4)*$X$1,2))</f>
        <v>64.13</v>
      </c>
      <c r="F67" s="59">
        <f t="shared" si="5"/>
        <v>83.36</v>
      </c>
      <c r="H67" s="59">
        <f t="shared" si="6"/>
        <v>76.959999999999994</v>
      </c>
      <c r="J67" s="59">
        <f>IF(ROUND(ROUND(('Loonschijven_Tranches salariale'!$Q67*0.65),4)*$X$1,2)&lt;J$7,J$7,IF('Loonschijven_Tranches salariale'!$Q67&lt;Basisbedragen!$C$26,ROUND(ROUND(('Loonschijven_Tranches salariale'!$Q67*0.65),4)*$X$1,2),ROUND(ROUND((Basisbedragen!$C$26*0.65),4)*$X$1,2)))</f>
        <v>69.47</v>
      </c>
      <c r="L67" s="59">
        <f t="shared" si="9"/>
        <v>34.74</v>
      </c>
      <c r="N67" s="59">
        <f t="shared" si="2"/>
        <v>32.07</v>
      </c>
      <c r="P67" s="59">
        <f t="shared" si="4"/>
        <v>41.68</v>
      </c>
      <c r="R67" s="59">
        <f t="shared" si="10"/>
        <v>38.479999999999997</v>
      </c>
      <c r="T67" s="59">
        <f t="shared" si="7"/>
        <v>34.74</v>
      </c>
    </row>
    <row r="68" spans="1:20" ht="15" thickBot="1">
      <c r="A68" s="54">
        <f t="shared" si="8"/>
        <v>61</v>
      </c>
      <c r="B68" s="59">
        <f>IF(ROUND(ROUND(('Loonschijven_Tranches salariale'!$Q68*0.65),4)*$X$1,2)&lt;$B$7,$B$7,ROUND(ROUND(('Loonschijven_Tranches salariale'!$Q68*0.65),4)*$X$1,2))</f>
        <v>70.33</v>
      </c>
      <c r="D68" s="59">
        <f>IF(ROUND(ROUND(('Loonschijven_Tranches salariale'!$Q68*0.6),4)*$X$1,2)&lt;$D$7,$D$7,ROUND(ROUND(('Loonschijven_Tranches salariale'!$Q68*0.6),4)*$X$1,2))</f>
        <v>64.92</v>
      </c>
      <c r="F68" s="59">
        <f t="shared" si="5"/>
        <v>84.4</v>
      </c>
      <c r="H68" s="59">
        <f t="shared" si="6"/>
        <v>77.900000000000006</v>
      </c>
      <c r="J68" s="59">
        <f>IF(ROUND(ROUND(('Loonschijven_Tranches salariale'!$Q68*0.65),4)*$X$1,2)&lt;J$7,J$7,IF('Loonschijven_Tranches salariale'!$Q68&lt;Basisbedragen!$C$26,ROUND(ROUND(('Loonschijven_Tranches salariale'!$Q68*0.65),4)*$X$1,2),ROUND(ROUND((Basisbedragen!$C$26*0.65),4)*$X$1,2)))</f>
        <v>70.33</v>
      </c>
      <c r="L68" s="59">
        <f t="shared" si="9"/>
        <v>35.17</v>
      </c>
      <c r="N68" s="59">
        <f t="shared" si="2"/>
        <v>32.46</v>
      </c>
      <c r="P68" s="59">
        <f t="shared" si="4"/>
        <v>42.2</v>
      </c>
      <c r="R68" s="59">
        <f t="shared" si="10"/>
        <v>38.950000000000003</v>
      </c>
      <c r="T68" s="59">
        <f t="shared" si="7"/>
        <v>35.17</v>
      </c>
    </row>
    <row r="69" spans="1:20" ht="15" thickBot="1">
      <c r="A69" s="54">
        <f t="shared" si="8"/>
        <v>62</v>
      </c>
      <c r="B69" s="59">
        <f>IF(ROUND(ROUND(('Loonschijven_Tranches salariale'!$Q69*0.65),4)*$X$1,2)&lt;$B$7,$B$7,ROUND(ROUND(('Loonschijven_Tranches salariale'!$Q69*0.65),4)*$X$1,2))</f>
        <v>71.3</v>
      </c>
      <c r="D69" s="59">
        <f>IF(ROUND(ROUND(('Loonschijven_Tranches salariale'!$Q69*0.6),4)*$X$1,2)&lt;$D$7,$D$7,ROUND(ROUND(('Loonschijven_Tranches salariale'!$Q69*0.6),4)*$X$1,2))</f>
        <v>65.819999999999993</v>
      </c>
      <c r="F69" s="59">
        <f t="shared" si="5"/>
        <v>85.56</v>
      </c>
      <c r="H69" s="59">
        <f t="shared" si="6"/>
        <v>78.98</v>
      </c>
      <c r="J69" s="59">
        <f>IF(ROUND(ROUND(('Loonschijven_Tranches salariale'!$Q69*0.65),4)*$X$1,2)&lt;J$7,J$7,IF('Loonschijven_Tranches salariale'!$Q69&lt;Basisbedragen!$C$26,ROUND(ROUND(('Loonschijven_Tranches salariale'!$Q69*0.65),4)*$X$1,2),ROUND(ROUND((Basisbedragen!$C$26*0.65),4)*$X$1,2)))</f>
        <v>71.3</v>
      </c>
      <c r="L69" s="59">
        <f t="shared" si="9"/>
        <v>35.65</v>
      </c>
      <c r="N69" s="59">
        <f t="shared" si="2"/>
        <v>32.909999999999997</v>
      </c>
      <c r="P69" s="59">
        <f t="shared" si="4"/>
        <v>42.78</v>
      </c>
      <c r="R69" s="59">
        <f t="shared" si="10"/>
        <v>39.49</v>
      </c>
      <c r="T69" s="59">
        <f t="shared" si="7"/>
        <v>35.65</v>
      </c>
    </row>
    <row r="70" spans="1:20" ht="15" thickBot="1">
      <c r="A70" s="54">
        <f t="shared" si="8"/>
        <v>63</v>
      </c>
      <c r="B70" s="59">
        <f>IF(ROUND(ROUND(('Loonschijven_Tranches salariale'!$Q70*0.65),4)*$X$1,2)&lt;$B$7,$B$7,ROUND(ROUND(('Loonschijven_Tranches salariale'!$Q70*0.65),4)*$X$1,2))</f>
        <v>72.28</v>
      </c>
      <c r="D70" s="59">
        <f>IF(ROUND(ROUND(('Loonschijven_Tranches salariale'!$Q70*0.6),4)*$X$1,2)&lt;$D$7,$D$7,ROUND(ROUND(('Loonschijven_Tranches salariale'!$Q70*0.6),4)*$X$1,2))</f>
        <v>66.72</v>
      </c>
      <c r="F70" s="59">
        <f t="shared" si="5"/>
        <v>86.74</v>
      </c>
      <c r="H70" s="59">
        <f t="shared" si="6"/>
        <v>80.06</v>
      </c>
      <c r="J70" s="59">
        <f>IF(ROUND(ROUND(('Loonschijven_Tranches salariale'!$Q70*0.65),4)*$X$1,2)&lt;J$7,J$7,IF('Loonschijven_Tranches salariale'!$Q70&lt;Basisbedragen!$C$26,ROUND(ROUND(('Loonschijven_Tranches salariale'!$Q70*0.65),4)*$X$1,2),ROUND(ROUND((Basisbedragen!$C$26*0.65),4)*$X$1,2)))</f>
        <v>72.28</v>
      </c>
      <c r="L70" s="59">
        <f t="shared" si="9"/>
        <v>36.14</v>
      </c>
      <c r="N70" s="59">
        <f t="shared" si="2"/>
        <v>33.36</v>
      </c>
      <c r="P70" s="59">
        <f t="shared" si="4"/>
        <v>43.37</v>
      </c>
      <c r="R70" s="59">
        <f t="shared" si="10"/>
        <v>40.03</v>
      </c>
      <c r="T70" s="59">
        <f t="shared" si="7"/>
        <v>36.14</v>
      </c>
    </row>
    <row r="71" spans="1:20" ht="15" thickBot="1">
      <c r="A71" s="54">
        <f t="shared" si="8"/>
        <v>64</v>
      </c>
      <c r="B71" s="59">
        <f>IF(ROUND(ROUND(('Loonschijven_Tranches salariale'!$Q71*0.65),4)*$X$1,2)&lt;$B$7,$B$7,ROUND(ROUND(('Loonschijven_Tranches salariale'!$Q71*0.65),4)*$X$1,2))</f>
        <v>73.430000000000007</v>
      </c>
      <c r="D71" s="59">
        <f>IF(ROUND(ROUND(('Loonschijven_Tranches salariale'!$Q71*0.6),4)*$X$1,2)&lt;$D$7,$D$7,ROUND(ROUND(('Loonschijven_Tranches salariale'!$Q71*0.6),4)*$X$1,2))</f>
        <v>67.78</v>
      </c>
      <c r="F71" s="59">
        <f t="shared" si="5"/>
        <v>88.12</v>
      </c>
      <c r="H71" s="59">
        <f t="shared" si="6"/>
        <v>81.34</v>
      </c>
      <c r="J71" s="59">
        <f>IF(ROUND(ROUND(('Loonschijven_Tranches salariale'!$Q71*0.65),4)*$X$1,2)&lt;J$7,J$7,IF('Loonschijven_Tranches salariale'!$Q71&lt;Basisbedragen!$C$26,ROUND(ROUND(('Loonschijven_Tranches salariale'!$Q71*0.65),4)*$X$1,2),ROUND(ROUND((Basisbedragen!$C$26*0.65),4)*$X$1,2)))</f>
        <v>73.430000000000007</v>
      </c>
      <c r="L71" s="59">
        <f t="shared" ref="L71:L85" si="11">ROUND(B71/2,2)</f>
        <v>36.72</v>
      </c>
      <c r="N71" s="59">
        <f t="shared" ref="N71:N86" si="12">ROUND(D71/2,2)</f>
        <v>33.89</v>
      </c>
      <c r="P71" s="59">
        <f t="shared" si="4"/>
        <v>44.06</v>
      </c>
      <c r="R71" s="59">
        <f t="shared" ref="R71:R79" si="13">ROUND(H71/2,2)</f>
        <v>40.67</v>
      </c>
      <c r="T71" s="59">
        <f t="shared" si="7"/>
        <v>36.72</v>
      </c>
    </row>
    <row r="72" spans="1:20" ht="15" thickBot="1">
      <c r="A72" s="54">
        <f t="shared" si="8"/>
        <v>65</v>
      </c>
      <c r="B72" s="59">
        <f>IF(ROUND(ROUND(('Loonschijven_Tranches salariale'!$Q72*0.65),4)*$X$1,2)&lt;$B$7,$B$7,ROUND(ROUND(('Loonschijven_Tranches salariale'!$Q72*0.65),4)*$X$1,2))</f>
        <v>74.34</v>
      </c>
      <c r="D72" s="59">
        <f>IF(ROUND(ROUND(('Loonschijven_Tranches salariale'!$Q72*0.6),4)*$X$1,2)&lt;$D$7,$D$7,ROUND(ROUND(('Loonschijven_Tranches salariale'!$Q72*0.6),4)*$X$1,2))</f>
        <v>68.63</v>
      </c>
      <c r="F72" s="59">
        <f t="shared" si="5"/>
        <v>89.21</v>
      </c>
      <c r="H72" s="59">
        <f t="shared" si="6"/>
        <v>82.36</v>
      </c>
      <c r="J72" s="59">
        <f>IF(ROUND(ROUND(('Loonschijven_Tranches salariale'!$Q72*0.65),4)*$X$1,2)&lt;J$7,J$7,IF('Loonschijven_Tranches salariale'!$Q72&lt;Basisbedragen!$C$26,ROUND(ROUND(('Loonschijven_Tranches salariale'!$Q72*0.65),4)*$X$1,2),ROUND(ROUND((Basisbedragen!$C$26*0.65),4)*$X$1,2)))</f>
        <v>73.81</v>
      </c>
      <c r="L72" s="59">
        <f t="shared" si="11"/>
        <v>37.17</v>
      </c>
      <c r="N72" s="59">
        <f t="shared" si="12"/>
        <v>34.32</v>
      </c>
      <c r="P72" s="59">
        <f t="shared" ref="P72:P86" si="14">ROUND(F72/2,2)</f>
        <v>44.61</v>
      </c>
      <c r="R72" s="59">
        <f t="shared" si="13"/>
        <v>41.18</v>
      </c>
      <c r="T72" s="59">
        <f t="shared" si="7"/>
        <v>36.909999999999997</v>
      </c>
    </row>
    <row r="73" spans="1:20" ht="15" thickBot="1">
      <c r="A73" s="54">
        <f t="shared" si="8"/>
        <v>66</v>
      </c>
      <c r="B73" s="59">
        <f>IF(ROUND(ROUND(('Loonschijven_Tranches salariale'!$Q73*0.65),4)*$X$1,2)&lt;$B$7,$B$7,ROUND(ROUND(('Loonschijven_Tranches salariale'!$Q73*0.65),4)*$X$1,2))</f>
        <v>75.209999999999994</v>
      </c>
      <c r="D73" s="59">
        <f>IF(ROUND(ROUND(('Loonschijven_Tranches salariale'!$Q73*0.6),4)*$X$1,2)&lt;$D$7,$D$7,ROUND(ROUND(('Loonschijven_Tranches salariale'!$Q73*0.6),4)*$X$1,2))</f>
        <v>69.430000000000007</v>
      </c>
      <c r="F73" s="59">
        <f t="shared" ref="F73:F86" si="15">ROUND(B73*1.2,2)</f>
        <v>90.25</v>
      </c>
      <c r="H73" s="59">
        <f t="shared" ref="H73:H86" si="16">ROUND(D73*1.2,2)</f>
        <v>83.32</v>
      </c>
      <c r="J73" s="59">
        <f>IF(ROUND(ROUND(('Loonschijven_Tranches salariale'!$Q73*0.65),4)*$X$1,2)&lt;J$7,J$7,IF('Loonschijven_Tranches salariale'!$Q73&lt;Basisbedragen!$C$26,ROUND(ROUND(('Loonschijven_Tranches salariale'!$Q73*0.65),4)*$X$1,2),ROUND(ROUND((Basisbedragen!$C$26*0.65),4)*$X$1,2)))</f>
        <v>73.81</v>
      </c>
      <c r="L73" s="59">
        <f t="shared" si="11"/>
        <v>37.61</v>
      </c>
      <c r="N73" s="59">
        <f t="shared" si="12"/>
        <v>34.72</v>
      </c>
      <c r="P73" s="59">
        <f t="shared" si="14"/>
        <v>45.13</v>
      </c>
      <c r="R73" s="59">
        <f t="shared" si="13"/>
        <v>41.66</v>
      </c>
      <c r="T73" s="59">
        <f t="shared" ref="T73:T82" si="17">ROUND(J73/2,2)</f>
        <v>36.909999999999997</v>
      </c>
    </row>
    <row r="74" spans="1:20" ht="15" thickBot="1">
      <c r="A74" s="54">
        <f t="shared" ref="A74:A81" si="18">A73+1</f>
        <v>67</v>
      </c>
      <c r="B74" s="59">
        <f>IF(ROUND(ROUND(('Loonschijven_Tranches salariale'!$Q74*0.65),4)*$X$1,2)&lt;$B$7,$B$7,ROUND(ROUND(('Loonschijven_Tranches salariale'!$Q74*0.65),4)*$X$1,2))</f>
        <v>76.19</v>
      </c>
      <c r="D74" s="59">
        <f>IF(ROUND(ROUND(('Loonschijven_Tranches salariale'!$Q74*0.6),4)*$X$1,2)&lt;$D$7,$D$7,ROUND(ROUND(('Loonschijven_Tranches salariale'!$Q74*0.6),4)*$X$1,2))</f>
        <v>70.33</v>
      </c>
      <c r="F74" s="59">
        <f t="shared" si="15"/>
        <v>91.43</v>
      </c>
      <c r="H74" s="59">
        <f t="shared" si="16"/>
        <v>84.4</v>
      </c>
      <c r="J74" s="59">
        <f>IF(ROUND(ROUND(('Loonschijven_Tranches salariale'!$Q74*0.65),4)*$X$1,2)&lt;J$7,J$7,IF('Loonschijven_Tranches salariale'!$Q74&lt;Basisbedragen!$C$26,ROUND(ROUND(('Loonschijven_Tranches salariale'!$Q74*0.65),4)*$X$1,2),ROUND(ROUND((Basisbedragen!$C$26*0.65),4)*$X$1,2)))</f>
        <v>73.81</v>
      </c>
      <c r="L74" s="59">
        <f t="shared" si="11"/>
        <v>38.1</v>
      </c>
      <c r="N74" s="59">
        <f t="shared" si="12"/>
        <v>35.17</v>
      </c>
      <c r="P74" s="59">
        <f t="shared" si="14"/>
        <v>45.72</v>
      </c>
      <c r="R74" s="59">
        <f t="shared" si="13"/>
        <v>42.2</v>
      </c>
      <c r="T74" s="59">
        <f t="shared" si="17"/>
        <v>36.909999999999997</v>
      </c>
    </row>
    <row r="75" spans="1:20" ht="15" thickBot="1">
      <c r="A75" s="54">
        <f t="shared" si="18"/>
        <v>68</v>
      </c>
      <c r="B75" s="59">
        <f>IF(ROUND(ROUND(('Loonschijven_Tranches salariale'!$Q75*0.65),4)*$X$1,2)&lt;$B$7,$B$7,ROUND(ROUND(('Loonschijven_Tranches salariale'!$Q75*0.65),4)*$X$1,2))</f>
        <v>77.16</v>
      </c>
      <c r="D75" s="59">
        <f>IF(ROUND(ROUND(('Loonschijven_Tranches salariale'!$Q75*0.6),4)*$X$1,2)&lt;$D$7,$D$7,ROUND(ROUND(('Loonschijven_Tranches salariale'!$Q75*0.6),4)*$X$1,2))</f>
        <v>71.23</v>
      </c>
      <c r="F75" s="59">
        <f t="shared" si="15"/>
        <v>92.59</v>
      </c>
      <c r="H75" s="59">
        <f t="shared" si="16"/>
        <v>85.48</v>
      </c>
      <c r="J75" s="59">
        <f>IF(ROUND(ROUND(('Loonschijven_Tranches salariale'!$Q75*0.65),4)*$X$1,2)&lt;J$7,J$7,IF('Loonschijven_Tranches salariale'!$Q75&lt;Basisbedragen!$C$26,ROUND(ROUND(('Loonschijven_Tranches salariale'!$Q75*0.65),4)*$X$1,2),ROUND(ROUND((Basisbedragen!$C$26*0.65),4)*$X$1,2)))</f>
        <v>73.81</v>
      </c>
      <c r="L75" s="59">
        <f t="shared" si="11"/>
        <v>38.58</v>
      </c>
      <c r="N75" s="59">
        <f t="shared" si="12"/>
        <v>35.619999999999997</v>
      </c>
      <c r="P75" s="59">
        <f t="shared" si="14"/>
        <v>46.3</v>
      </c>
      <c r="R75" s="59">
        <f t="shared" si="13"/>
        <v>42.74</v>
      </c>
      <c r="T75" s="59">
        <f t="shared" si="17"/>
        <v>36.909999999999997</v>
      </c>
    </row>
    <row r="76" spans="1:20" ht="15" thickBot="1">
      <c r="A76" s="54">
        <f t="shared" si="18"/>
        <v>69</v>
      </c>
      <c r="B76" s="59">
        <f>IF(ROUND(ROUND(('Loonschijven_Tranches salariale'!$Q76*0.65),4)*$X$1,2)&lt;$B$7,$B$7,ROUND(ROUND(('Loonschijven_Tranches salariale'!$Q76*0.65),4)*$X$1,2))</f>
        <v>78.14</v>
      </c>
      <c r="D76" s="59">
        <f>IF(ROUND(ROUND(('Loonschijven_Tranches salariale'!$Q76*0.6),4)*$X$1,2)&lt;$D$7,$D$7,ROUND(ROUND(('Loonschijven_Tranches salariale'!$Q76*0.6),4)*$X$1,2))</f>
        <v>72.13</v>
      </c>
      <c r="F76" s="59">
        <f t="shared" si="15"/>
        <v>93.77</v>
      </c>
      <c r="H76" s="59">
        <f t="shared" si="16"/>
        <v>86.56</v>
      </c>
      <c r="J76" s="59">
        <f>IF(ROUND(ROUND(('Loonschijven_Tranches salariale'!$Q76*0.65),4)*$X$1,2)&lt;J$7,J$7,IF('Loonschijven_Tranches salariale'!$Q76&lt;Basisbedragen!$C$26,ROUND(ROUND(('Loonschijven_Tranches salariale'!$Q76*0.65),4)*$X$1,2),ROUND(ROUND((Basisbedragen!$C$26*0.65),4)*$X$1,2)))</f>
        <v>73.81</v>
      </c>
      <c r="L76" s="59">
        <f t="shared" si="11"/>
        <v>39.07</v>
      </c>
      <c r="N76" s="59">
        <f t="shared" si="12"/>
        <v>36.07</v>
      </c>
      <c r="P76" s="59">
        <f t="shared" si="14"/>
        <v>46.89</v>
      </c>
      <c r="R76" s="59">
        <f t="shared" si="13"/>
        <v>43.28</v>
      </c>
      <c r="T76" s="59">
        <f t="shared" si="17"/>
        <v>36.909999999999997</v>
      </c>
    </row>
    <row r="77" spans="1:20" ht="15" thickBot="1">
      <c r="A77" s="54">
        <f t="shared" si="18"/>
        <v>70</v>
      </c>
      <c r="B77" s="59">
        <f>IF(ROUND(ROUND(('Loonschijven_Tranches salariale'!$Q77*0.65),4)*$X$1,2)&lt;$B$7,$B$7,ROUND(ROUND(('Loonschijven_Tranches salariale'!$Q77*0.65),4)*$X$1,2))</f>
        <v>78.78</v>
      </c>
      <c r="D77" s="59">
        <f>IF(ROUND(ROUND(('Loonschijven_Tranches salariale'!$Q77*0.6),4)*$X$1,2)&lt;$D$7,$D$7,ROUND(ROUND(('Loonschijven_Tranches salariale'!$Q77*0.6),4)*$X$1,2))</f>
        <v>72.72</v>
      </c>
      <c r="F77" s="59">
        <f t="shared" si="15"/>
        <v>94.54</v>
      </c>
      <c r="H77" s="59">
        <f t="shared" si="16"/>
        <v>87.26</v>
      </c>
      <c r="J77" s="59">
        <f>IF(ROUND(ROUND(('Loonschijven_Tranches salariale'!$Q77*0.65),4)*$X$1,2)&lt;J$7,J$7,IF('Loonschijven_Tranches salariale'!$Q77&lt;Basisbedragen!$C$26,ROUND(ROUND(('Loonschijven_Tranches salariale'!$Q77*0.65),4)*$X$1,2),ROUND(ROUND((Basisbedragen!$C$26*0.65),4)*$X$1,2)))</f>
        <v>73.81</v>
      </c>
      <c r="L77" s="59">
        <f t="shared" si="11"/>
        <v>39.39</v>
      </c>
      <c r="N77" s="59">
        <f t="shared" si="12"/>
        <v>36.36</v>
      </c>
      <c r="P77" s="59">
        <f t="shared" si="14"/>
        <v>47.27</v>
      </c>
      <c r="R77" s="59">
        <f t="shared" si="13"/>
        <v>43.63</v>
      </c>
      <c r="T77" s="59">
        <f t="shared" si="17"/>
        <v>36.909999999999997</v>
      </c>
    </row>
    <row r="78" spans="1:20" ht="15" thickBot="1">
      <c r="A78" s="54">
        <f t="shared" si="18"/>
        <v>71</v>
      </c>
      <c r="B78" s="59">
        <f>IF(ROUND(ROUND(('Loonschijven_Tranches salariale'!$Q78*0.65),4)*$X$1,2)&lt;$B$7,$B$7,ROUND(ROUND(('Loonschijven_Tranches salariale'!$Q78*0.65),4)*$X$1,2))</f>
        <v>79.28</v>
      </c>
      <c r="D78" s="59">
        <f>IF(ROUND(ROUND(('Loonschijven_Tranches salariale'!$Q78*0.6),4)*$X$1,2)&lt;$D$7,$D$7,ROUND(ROUND(('Loonschijven_Tranches salariale'!$Q78*0.6),4)*$X$1,2))</f>
        <v>73.180000000000007</v>
      </c>
      <c r="F78" s="59">
        <f t="shared" si="15"/>
        <v>95.14</v>
      </c>
      <c r="H78" s="59">
        <f t="shared" si="16"/>
        <v>87.82</v>
      </c>
      <c r="J78" s="59">
        <f>IF(ROUND(ROUND(('Loonschijven_Tranches salariale'!$Q78*0.65),4)*$X$1,2)&lt;J$7,J$7,IF('Loonschijven_Tranches salariale'!$Q78&lt;Basisbedragen!$C$26,ROUND(ROUND(('Loonschijven_Tranches salariale'!$Q78*0.65),4)*$X$1,2),ROUND(ROUND((Basisbedragen!$C$26*0.65),4)*$X$1,2)))</f>
        <v>73.81</v>
      </c>
      <c r="L78" s="59">
        <f t="shared" si="11"/>
        <v>39.64</v>
      </c>
      <c r="N78" s="59">
        <f t="shared" si="12"/>
        <v>36.590000000000003</v>
      </c>
      <c r="P78" s="59">
        <f t="shared" si="14"/>
        <v>47.57</v>
      </c>
      <c r="R78" s="59">
        <f t="shared" si="13"/>
        <v>43.91</v>
      </c>
      <c r="T78" s="59">
        <f t="shared" si="17"/>
        <v>36.909999999999997</v>
      </c>
    </row>
    <row r="79" spans="1:20" ht="15" thickBot="1">
      <c r="A79" s="54">
        <f t="shared" si="18"/>
        <v>72</v>
      </c>
      <c r="B79" s="59">
        <f>IF(ROUND(ROUND(('Loonschijven_Tranches salariale'!$Q79*0.65),4)*$X$1,2)&lt;$B$7,$B$7,ROUND(ROUND(('Loonschijven_Tranches salariale'!$Q79*0.65),4)*$X$1,2))</f>
        <v>79.77</v>
      </c>
      <c r="D79" s="59">
        <f>IF(ROUND(ROUND(('Loonschijven_Tranches salariale'!$Q79*0.6),4)*$X$1,2)&lt;$D$7,$D$7,ROUND(ROUND(('Loonschijven_Tranches salariale'!$Q79*0.6),4)*$X$1,2))</f>
        <v>73.63</v>
      </c>
      <c r="F79" s="59">
        <f t="shared" si="15"/>
        <v>95.72</v>
      </c>
      <c r="H79" s="59">
        <f t="shared" si="16"/>
        <v>88.36</v>
      </c>
      <c r="J79" s="59">
        <f>IF(ROUND(ROUND(('Loonschijven_Tranches salariale'!$Q79*0.65),4)*$X$1,2)&lt;J$7,J$7,IF('Loonschijven_Tranches salariale'!$Q79&lt;Basisbedragen!$C$26,ROUND(ROUND(('Loonschijven_Tranches salariale'!$Q79*0.65),4)*$X$1,2),ROUND(ROUND((Basisbedragen!$C$26*0.65),4)*$X$1,2)))</f>
        <v>73.81</v>
      </c>
      <c r="L79" s="59">
        <f t="shared" si="11"/>
        <v>39.89</v>
      </c>
      <c r="N79" s="59">
        <f t="shared" si="12"/>
        <v>36.82</v>
      </c>
      <c r="P79" s="59">
        <f t="shared" si="14"/>
        <v>47.86</v>
      </c>
      <c r="R79" s="59">
        <f t="shared" si="13"/>
        <v>44.18</v>
      </c>
      <c r="T79" s="59">
        <f t="shared" si="17"/>
        <v>36.909999999999997</v>
      </c>
    </row>
    <row r="80" spans="1:20" ht="15" thickBot="1">
      <c r="A80" s="54">
        <f t="shared" si="18"/>
        <v>73</v>
      </c>
      <c r="B80" s="59">
        <f>IF(ROUND(ROUND(('Loonschijven_Tranches salariale'!$Q80*0.65),4)*$X$1,2)&lt;$B$7,$B$7,ROUND(ROUND(('Loonschijven_Tranches salariale'!$Q80*0.65),4)*$X$1,2))</f>
        <v>80.87</v>
      </c>
      <c r="D80" s="59">
        <f>IF(ROUND(ROUND(('Loonschijven_Tranches salariale'!$Q80*0.6),4)*$X$1,2)&lt;$D$7,$D$7,ROUND(ROUND(('Loonschijven_Tranches salariale'!$Q80*0.6),4)*$X$1,2))</f>
        <v>74.650000000000006</v>
      </c>
      <c r="F80" s="59">
        <f t="shared" si="15"/>
        <v>97.04</v>
      </c>
      <c r="H80" s="59">
        <f t="shared" si="16"/>
        <v>89.58</v>
      </c>
      <c r="J80" s="59">
        <f>IF(ROUND(ROUND(('Loonschijven_Tranches salariale'!$Q80*0.65),4)*$X$1,2)&lt;J$7,J$7,IF('Loonschijven_Tranches salariale'!$Q80&lt;Basisbedragen!$C$26,ROUND(ROUND(('Loonschijven_Tranches salariale'!$Q80*0.65),4)*$X$1,2),ROUND(ROUND((Basisbedragen!$C$26*0.65),4)*$X$1,2)))</f>
        <v>73.81</v>
      </c>
      <c r="L80" s="59">
        <f t="shared" si="11"/>
        <v>40.44</v>
      </c>
      <c r="N80" s="59">
        <f t="shared" si="12"/>
        <v>37.33</v>
      </c>
      <c r="P80" s="59">
        <f t="shared" si="14"/>
        <v>48.52</v>
      </c>
      <c r="R80" s="59">
        <f t="shared" ref="R80:R85" si="19">ROUND(H80/2,2)</f>
        <v>44.79</v>
      </c>
      <c r="T80" s="59">
        <f t="shared" si="17"/>
        <v>36.909999999999997</v>
      </c>
    </row>
    <row r="81" spans="1:20" ht="15" thickBot="1">
      <c r="A81" s="54">
        <f t="shared" si="18"/>
        <v>74</v>
      </c>
      <c r="B81" s="59">
        <f>IF(ROUND(ROUND(('Loonschijven_Tranches salariale'!$Q81*0.65),4)*$X$1,2)&lt;$B$7,$B$7,ROUND(ROUND(('Loonschijven_Tranches salariale'!$Q81*0.65),4)*$X$1,2))</f>
        <v>81.36</v>
      </c>
      <c r="D81" s="59">
        <f>IF(ROUND(ROUND(('Loonschijven_Tranches salariale'!$Q81*0.6),4)*$X$1,2)&lt;$D$7,$D$7,ROUND(ROUND(('Loonschijven_Tranches salariale'!$Q81*0.6),4)*$X$1,2))</f>
        <v>75.099999999999994</v>
      </c>
      <c r="F81" s="59">
        <f t="shared" si="15"/>
        <v>97.63</v>
      </c>
      <c r="H81" s="59">
        <f t="shared" si="16"/>
        <v>90.12</v>
      </c>
      <c r="J81" s="59">
        <f>IF(ROUND(ROUND(('Loonschijven_Tranches salariale'!$Q81*0.65),4)*$X$1,2)&lt;J$7,J$7,IF('Loonschijven_Tranches salariale'!$Q81&lt;Basisbedragen!$C$26,ROUND(ROUND(('Loonschijven_Tranches salariale'!$Q81*0.65),4)*$X$1,2),ROUND(ROUND((Basisbedragen!$C$26*0.65),4)*$X$1,2)))</f>
        <v>73.81</v>
      </c>
      <c r="L81" s="59">
        <f t="shared" si="11"/>
        <v>40.68</v>
      </c>
      <c r="N81" s="59">
        <f t="shared" si="12"/>
        <v>37.549999999999997</v>
      </c>
      <c r="P81" s="59">
        <f t="shared" si="14"/>
        <v>48.82</v>
      </c>
      <c r="R81" s="59">
        <f t="shared" si="19"/>
        <v>45.06</v>
      </c>
      <c r="T81" s="59">
        <f t="shared" si="17"/>
        <v>36.909999999999997</v>
      </c>
    </row>
    <row r="82" spans="1:20" ht="15" thickBot="1">
      <c r="A82" s="54">
        <f>A81+1</f>
        <v>75</v>
      </c>
      <c r="B82" s="59">
        <f>IF(ROUND(ROUND(('Loonschijven_Tranches salariale'!$Q82*0.65),4)*$X$1,2)&lt;$B$7,$B$7,ROUND(ROUND(('Loonschijven_Tranches salariale'!$Q82*0.65),4)*$X$1,2))</f>
        <v>82.38</v>
      </c>
      <c r="D82" s="59">
        <f>IF(ROUND(ROUND(('Loonschijven_Tranches salariale'!$Q82*0.6),4)*$X$1,2)&lt;$D$7,$D$7,ROUND(ROUND(('Loonschijven_Tranches salariale'!$Q82*0.6),4)*$X$1,2))</f>
        <v>76.040000000000006</v>
      </c>
      <c r="F82" s="59">
        <f t="shared" si="15"/>
        <v>98.86</v>
      </c>
      <c r="H82" s="59">
        <f t="shared" si="16"/>
        <v>91.25</v>
      </c>
      <c r="J82" s="59">
        <f>IF(ROUND(ROUND(('Loonschijven_Tranches salariale'!$Q82*0.65),4)*$X$1,2)&lt;J$7,J$7,IF('Loonschijven_Tranches salariale'!$Q82&lt;Basisbedragen!$C$26,ROUND(ROUND(('Loonschijven_Tranches salariale'!$Q82*0.65),4)*$X$1,2),ROUND(ROUND((Basisbedragen!$C$26*0.65),4)*$X$1,2)))</f>
        <v>73.81</v>
      </c>
      <c r="L82" s="59">
        <f t="shared" si="11"/>
        <v>41.19</v>
      </c>
      <c r="N82" s="59">
        <f t="shared" si="12"/>
        <v>38.020000000000003</v>
      </c>
      <c r="P82" s="59">
        <f t="shared" si="14"/>
        <v>49.43</v>
      </c>
      <c r="R82" s="59">
        <f t="shared" si="19"/>
        <v>45.63</v>
      </c>
      <c r="T82" s="59">
        <f t="shared" si="17"/>
        <v>36.909999999999997</v>
      </c>
    </row>
    <row r="83" spans="1:20" ht="15" thickBot="1">
      <c r="A83" s="54">
        <f>A82+1</f>
        <v>76</v>
      </c>
      <c r="B83" s="59">
        <f>IF(ROUND(ROUND(('Loonschijven_Tranches salariale'!$Q83*0.65),4)*$X$1,2)&lt;$B$7,$B$7,ROUND(ROUND(('Loonschijven_Tranches salariale'!$Q83*0.65),4)*$X$1,2))</f>
        <v>83.04</v>
      </c>
      <c r="D83" s="59">
        <f>IF(ROUND(ROUND(('Loonschijven_Tranches salariale'!$Q83*0.6),4)*$X$1,2)&lt;$D$7,$D$7,ROUND(ROUND(('Loonschijven_Tranches salariale'!$Q83*0.6),4)*$X$1,2))</f>
        <v>76.650000000000006</v>
      </c>
      <c r="F83" s="59">
        <f t="shared" si="15"/>
        <v>99.65</v>
      </c>
      <c r="H83" s="59">
        <f t="shared" si="16"/>
        <v>91.98</v>
      </c>
      <c r="J83" s="59">
        <f>IF(ROUND(ROUND(('Loonschijven_Tranches salariale'!$Q83*0.65),4)*$X$1,2)&lt;J$7,J$7,IF('Loonschijven_Tranches salariale'!$Q83&lt;Basisbedragen!$C$26,ROUND(ROUND(('Loonschijven_Tranches salariale'!$Q83*0.65),4)*$X$1,2),ROUND(ROUND((Basisbedragen!$C$26*0.65),4)*$X$1,2)))</f>
        <v>73.81</v>
      </c>
      <c r="L83" s="59">
        <f t="shared" si="11"/>
        <v>41.52</v>
      </c>
      <c r="N83" s="59">
        <f t="shared" si="12"/>
        <v>38.33</v>
      </c>
      <c r="P83" s="59">
        <f t="shared" si="14"/>
        <v>49.83</v>
      </c>
      <c r="R83" s="59">
        <f t="shared" si="19"/>
        <v>45.99</v>
      </c>
      <c r="T83" s="59">
        <f>ROUND(J83/2,2)</f>
        <v>36.909999999999997</v>
      </c>
    </row>
    <row r="84" spans="1:20" ht="15" thickBot="1">
      <c r="A84" s="54">
        <f>A83+1</f>
        <v>77</v>
      </c>
      <c r="B84" s="59">
        <f>IF(ROUND(ROUND(('Loonschijven_Tranches salariale'!$Q84*0.65),4)*$X$1,2)&lt;$B$7,$B$7,ROUND(ROUND(('Loonschijven_Tranches salariale'!$Q84*0.65),4)*$X$1,2))</f>
        <v>83.95</v>
      </c>
      <c r="D84" s="59">
        <f>IF(ROUND(ROUND(('Loonschijven_Tranches salariale'!$Q84*0.6),4)*$X$1,2)&lt;$D$7,$D$7,ROUND(ROUND(('Loonschijven_Tranches salariale'!$Q84*0.6),4)*$X$1,2))</f>
        <v>77.489999999999995</v>
      </c>
      <c r="F84" s="59">
        <f t="shared" si="15"/>
        <v>100.74</v>
      </c>
      <c r="H84" s="59">
        <f t="shared" si="16"/>
        <v>92.99</v>
      </c>
      <c r="J84" s="59">
        <f>IF(ROUND(ROUND(('Loonschijven_Tranches salariale'!$Q84*0.65),4)*$X$1,2)&lt;J$7,J$7,IF('Loonschijven_Tranches salariale'!$Q84&lt;Basisbedragen!$C$26,ROUND(ROUND(('Loonschijven_Tranches salariale'!$Q84*0.65),4)*$X$1,2),ROUND(ROUND((Basisbedragen!$C$26*0.65),4)*$X$1,2)))</f>
        <v>73.81</v>
      </c>
      <c r="L84" s="59">
        <f t="shared" si="11"/>
        <v>41.98</v>
      </c>
      <c r="N84" s="59">
        <f t="shared" si="12"/>
        <v>38.75</v>
      </c>
      <c r="P84" s="59">
        <f t="shared" si="14"/>
        <v>50.37</v>
      </c>
      <c r="R84" s="59">
        <f t="shared" si="19"/>
        <v>46.5</v>
      </c>
      <c r="T84" s="59">
        <f>ROUND(J84/2,2)</f>
        <v>36.909999999999997</v>
      </c>
    </row>
    <row r="85" spans="1:20" ht="15" thickBot="1">
      <c r="A85" s="54">
        <f>A84+1</f>
        <v>78</v>
      </c>
      <c r="B85" s="59">
        <f>IF(ROUND(ROUND(('Loonschijven_Tranches salariale'!$Q85*0.65),4)*$X$1,2)&lt;$B$7,$B$7,ROUND(ROUND(('Loonschijven_Tranches salariale'!$Q85*0.65),4)*$X$1,2))</f>
        <v>84.88</v>
      </c>
      <c r="C85" s="486"/>
      <c r="D85" s="59">
        <f>IF(ROUND(ROUND(('Loonschijven_Tranches salariale'!$Q85*0.6),4)*$X$1,2)&lt;$D$7,$D$7,ROUND(ROUND(('Loonschijven_Tranches salariale'!$Q85*0.6),4)*$X$1,2))</f>
        <v>78.349999999999994</v>
      </c>
      <c r="F85" s="59">
        <f t="shared" si="15"/>
        <v>101.86</v>
      </c>
      <c r="H85" s="59">
        <f t="shared" si="16"/>
        <v>94.02</v>
      </c>
      <c r="I85" s="486"/>
      <c r="J85" s="59">
        <f>IF(ROUND(ROUND(('Loonschijven_Tranches salariale'!$Q85*0.65),4)*$X$1,2)&lt;J$7,J$7,IF('Loonschijven_Tranches salariale'!$Q85&lt;Basisbedragen!$C$26,ROUND(ROUND(('Loonschijven_Tranches salariale'!$Q85*0.65),4)*$X$1,2),ROUND(ROUND((Basisbedragen!$C$26*0.65),4)*$X$1,2)))</f>
        <v>73.81</v>
      </c>
      <c r="K85" s="486"/>
      <c r="L85" s="59">
        <f t="shared" si="11"/>
        <v>42.44</v>
      </c>
      <c r="M85" s="486"/>
      <c r="N85" s="59">
        <f t="shared" si="12"/>
        <v>39.18</v>
      </c>
      <c r="P85" s="59">
        <f t="shared" si="14"/>
        <v>50.93</v>
      </c>
      <c r="R85" s="59">
        <f t="shared" si="19"/>
        <v>47.01</v>
      </c>
      <c r="S85" s="486"/>
      <c r="T85" s="59">
        <f>ROUND(J85/2,2)</f>
        <v>36.909999999999997</v>
      </c>
    </row>
    <row r="86" spans="1:20" ht="15" thickBot="1">
      <c r="A86" s="54">
        <f>A85+1</f>
        <v>79</v>
      </c>
      <c r="B86" s="59">
        <f>IF(ROUND(ROUND(('Loonschijven_Tranches salariale'!$Q86*0.65),4)*$X$1,2)&lt;$B$7,$B$7,ROUND(ROUND(('Loonschijven_Tranches salariale'!$Q86*0.65),4)*$X$1,2))</f>
        <v>85.81</v>
      </c>
      <c r="C86" s="512"/>
      <c r="D86" s="59">
        <f>IF(ROUND(ROUND(('Loonschijven_Tranches salariale'!$Q86*0.6),4)*$X$1,2)&lt;$D$7,$D$7,ROUND(ROUND(('Loonschijven_Tranches salariale'!$Q86*0.6),4)*$X$1,2))</f>
        <v>79.209999999999994</v>
      </c>
      <c r="F86" s="59">
        <f t="shared" si="15"/>
        <v>102.97</v>
      </c>
      <c r="H86" s="59">
        <f t="shared" si="16"/>
        <v>95.05</v>
      </c>
      <c r="I86" s="512"/>
      <c r="J86" s="59">
        <f>IF(ROUND(ROUND(('Loonschijven_Tranches salariale'!$Q86*0.65),4)*$X$1,2)&lt;J$7,J$7,IF('Loonschijven_Tranches salariale'!$Q86&lt;Basisbedragen!$C$26,ROUND(ROUND(('Loonschijven_Tranches salariale'!$Q86*0.65),4)*$X$1,2),ROUND(ROUND((Basisbedragen!$C$26*0.65),4)*$X$1,2)))</f>
        <v>73.81</v>
      </c>
      <c r="K86" s="512"/>
      <c r="L86" s="59">
        <f t="shared" ref="L86" si="20">ROUND(B86/2,2)</f>
        <v>42.91</v>
      </c>
      <c r="M86" s="512"/>
      <c r="N86" s="59">
        <f t="shared" si="12"/>
        <v>39.61</v>
      </c>
      <c r="P86" s="59">
        <f t="shared" si="14"/>
        <v>51.49</v>
      </c>
      <c r="R86" s="59">
        <f t="shared" ref="R86" si="21">ROUND(H86/2,2)</f>
        <v>47.53</v>
      </c>
      <c r="S86" s="512"/>
      <c r="T86" s="59">
        <f>ROUND(J86/2,2)</f>
        <v>36.909999999999997</v>
      </c>
    </row>
  </sheetData>
  <sheetProtection algorithmName="SHA-512" hashValue="jmVwsL85TgDKMB9GpHsmGWOYuY+RYrCSi80p8sSCVlaV3wce+oN1VSQiUXic3B/wKId4TzNUF3bLmjxibg/DiQ==" saltValue="nrBcAuki+4AlWD+Y4eCZDQ==" spinCount="100000" sheet="1" objects="1" scenarios="1"/>
  <mergeCells count="4">
    <mergeCell ref="AD1:AE1"/>
    <mergeCell ref="U1:W1"/>
    <mergeCell ref="B4:J4"/>
    <mergeCell ref="L4:T4"/>
  </mergeCells>
  <conditionalFormatting sqref="L8:L86 T8:T86 J8:J86 R8:R86 B8:B86 H8:H86 C8:D8 M8:N8 N9:N86 D9:D86">
    <cfRule type="expression" dxfId="6" priority="6">
      <formula>MOD(INDIRECT(ADDRESS(ROW(),1)),5)=0</formula>
    </cfRule>
  </conditionalFormatting>
  <conditionalFormatting sqref="F8:F86">
    <cfRule type="expression" dxfId="5" priority="2">
      <formula>MOD(INDIRECT(ADDRESS(ROW(),1)),5)=0</formula>
    </cfRule>
  </conditionalFormatting>
  <conditionalFormatting sqref="P8:P86">
    <cfRule type="expression" dxfId="4" priority="1">
      <formula>MOD(INDIRECT(ADDRESS(ROW(),1)),5)=0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&amp;LRijksdienst voor Arbeidsvoorziening&amp;ROffice national de l'Emploi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4" max="4" width="0.6640625" customWidth="1"/>
    <col min="8" max="8" width="0.6640625" customWidth="1"/>
    <col min="12" max="12" width="0.6640625" style="512" customWidth="1"/>
    <col min="13" max="14" width="9.109375" style="500"/>
    <col min="15" max="15" width="4.33203125" customWidth="1"/>
    <col min="18" max="18" width="0.6640625" customWidth="1"/>
    <col min="22" max="22" width="0.6640625" customWidth="1"/>
    <col min="26" max="26" width="0.6640625" style="512" customWidth="1"/>
    <col min="27" max="28" width="9.109375" style="509"/>
  </cols>
  <sheetData>
    <row r="1" spans="1:28" ht="15" customHeight="1">
      <c r="A1" s="44" t="s">
        <v>33</v>
      </c>
      <c r="C1" s="600" t="s">
        <v>71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114"/>
      <c r="W1" s="599" t="s">
        <v>34</v>
      </c>
      <c r="X1" s="599"/>
      <c r="Y1" s="497">
        <f>Basisbedragen!$H$2</f>
        <v>1.7410000000000001</v>
      </c>
      <c r="Z1" s="497"/>
      <c r="AA1" s="497"/>
      <c r="AB1" s="497"/>
    </row>
    <row r="2" spans="1:28" ht="15.6">
      <c r="A2" s="491">
        <v>45689</v>
      </c>
      <c r="C2" s="600" t="s">
        <v>72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111"/>
      <c r="W2" s="45"/>
      <c r="X2" s="45"/>
      <c r="Y2" s="45"/>
      <c r="Z2" s="45"/>
      <c r="AA2" s="45"/>
      <c r="AB2" s="45"/>
    </row>
    <row r="3" spans="1:28" ht="16.2" thickBot="1">
      <c r="A3" s="60"/>
      <c r="C3" s="107"/>
      <c r="D3" s="107"/>
      <c r="E3" s="107"/>
      <c r="F3" s="107"/>
      <c r="G3" s="107"/>
      <c r="H3" s="107"/>
      <c r="I3" s="107"/>
      <c r="J3" s="107"/>
      <c r="K3" s="107"/>
      <c r="L3" s="510"/>
      <c r="M3" s="499"/>
      <c r="N3" s="499"/>
      <c r="O3" s="107"/>
      <c r="P3" s="107"/>
      <c r="Q3" s="107"/>
      <c r="R3" s="107"/>
      <c r="S3" s="107"/>
      <c r="T3" s="107"/>
      <c r="U3" s="107"/>
      <c r="V3" s="111"/>
      <c r="W3" s="45"/>
      <c r="X3" s="45"/>
      <c r="Y3" s="45"/>
      <c r="Z3" s="45"/>
      <c r="AA3" s="45"/>
      <c r="AB3" s="45"/>
    </row>
    <row r="4" spans="1:28" ht="16.2" thickBot="1">
      <c r="A4" s="46"/>
      <c r="B4" s="620" t="s">
        <v>77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9"/>
      <c r="N4" s="630"/>
      <c r="P4" s="620" t="s">
        <v>78</v>
      </c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2"/>
    </row>
    <row r="5" spans="1:28" ht="80.400000000000006" thickBot="1">
      <c r="A5" s="46"/>
      <c r="B5" s="113" t="s">
        <v>306</v>
      </c>
      <c r="C5" s="113" t="s">
        <v>311</v>
      </c>
      <c r="E5" s="623" t="s">
        <v>73</v>
      </c>
      <c r="F5" s="624"/>
      <c r="G5" s="625"/>
      <c r="I5" s="623" t="s">
        <v>74</v>
      </c>
      <c r="J5" s="624"/>
      <c r="K5" s="624"/>
      <c r="L5" s="515"/>
      <c r="M5" s="631" t="s">
        <v>517</v>
      </c>
      <c r="N5" s="632"/>
      <c r="P5" s="112" t="s">
        <v>306</v>
      </c>
      <c r="Q5" s="112" t="s">
        <v>311</v>
      </c>
      <c r="S5" s="626" t="s">
        <v>73</v>
      </c>
      <c r="T5" s="627"/>
      <c r="U5" s="628"/>
      <c r="W5" s="626" t="s">
        <v>74</v>
      </c>
      <c r="X5" s="627"/>
      <c r="Y5" s="628"/>
      <c r="Z5" s="515"/>
      <c r="AA5" s="618" t="s">
        <v>517</v>
      </c>
      <c r="AB5" s="619"/>
    </row>
    <row r="6" spans="1:28" ht="35.4" thickBot="1">
      <c r="A6" s="52" t="s">
        <v>35</v>
      </c>
      <c r="B6" s="55" t="s">
        <v>64</v>
      </c>
      <c r="C6" s="56" t="s">
        <v>312</v>
      </c>
      <c r="D6" s="110"/>
      <c r="E6" s="56" t="s">
        <v>65</v>
      </c>
      <c r="F6" s="56" t="s">
        <v>66</v>
      </c>
      <c r="G6" s="56" t="s">
        <v>67</v>
      </c>
      <c r="I6" s="56" t="s">
        <v>68</v>
      </c>
      <c r="J6" s="56" t="s">
        <v>69</v>
      </c>
      <c r="K6" s="502" t="s">
        <v>70</v>
      </c>
      <c r="L6" s="516"/>
      <c r="M6" s="56" t="s">
        <v>518</v>
      </c>
      <c r="N6" s="56" t="s">
        <v>519</v>
      </c>
      <c r="P6" s="55" t="s">
        <v>64</v>
      </c>
      <c r="Q6" s="56" t="s">
        <v>312</v>
      </c>
      <c r="R6" s="110"/>
      <c r="S6" s="56" t="s">
        <v>65</v>
      </c>
      <c r="T6" s="56" t="s">
        <v>66</v>
      </c>
      <c r="U6" s="56" t="s">
        <v>67</v>
      </c>
      <c r="W6" s="56" t="s">
        <v>68</v>
      </c>
      <c r="X6" s="56" t="s">
        <v>69</v>
      </c>
      <c r="Y6" s="56" t="s">
        <v>70</v>
      </c>
      <c r="Z6" s="516"/>
      <c r="AA6" s="56" t="s">
        <v>518</v>
      </c>
      <c r="AB6" s="56" t="s">
        <v>519</v>
      </c>
    </row>
    <row r="7" spans="1:28" ht="15" thickBot="1">
      <c r="A7" s="53"/>
      <c r="B7" s="64">
        <v>0.6</v>
      </c>
      <c r="C7" s="64">
        <v>0.6</v>
      </c>
      <c r="E7" s="64">
        <v>0.6</v>
      </c>
      <c r="F7" s="64">
        <v>0.6</v>
      </c>
      <c r="G7" s="64">
        <v>0.6</v>
      </c>
      <c r="I7" s="64">
        <v>0.6</v>
      </c>
      <c r="J7" s="64">
        <v>0.6</v>
      </c>
      <c r="K7" s="503">
        <v>0.6</v>
      </c>
      <c r="L7" s="517"/>
      <c r="M7" s="503">
        <v>0.6</v>
      </c>
      <c r="N7" s="64">
        <v>0.6</v>
      </c>
      <c r="P7" s="64">
        <v>0.6</v>
      </c>
      <c r="Q7" s="64">
        <v>0.6</v>
      </c>
      <c r="S7" s="64">
        <v>0.6</v>
      </c>
      <c r="T7" s="64">
        <v>0.6</v>
      </c>
      <c r="U7" s="64">
        <v>0.6</v>
      </c>
      <c r="W7" s="64">
        <v>0.6</v>
      </c>
      <c r="X7" s="64">
        <v>0.6</v>
      </c>
      <c r="Y7" s="64">
        <v>0.6</v>
      </c>
      <c r="Z7" s="517"/>
      <c r="AA7" s="503">
        <v>0.6</v>
      </c>
      <c r="AB7" s="64">
        <v>0.6</v>
      </c>
    </row>
    <row r="8" spans="1:28" ht="15" thickBot="1">
      <c r="A8" s="70" t="s">
        <v>4</v>
      </c>
      <c r="B8" s="106">
        <f>ROUND(A!$D$8*1.2,2)</f>
        <v>81.88</v>
      </c>
      <c r="C8" s="106">
        <f>A!$D$8</f>
        <v>68.23</v>
      </c>
      <c r="E8" s="106">
        <f>'TW-CT_JS'!D7</f>
        <v>62.22</v>
      </c>
      <c r="F8" s="106">
        <f>E8</f>
        <v>62.22</v>
      </c>
      <c r="G8" s="106">
        <f>E8</f>
        <v>62.22</v>
      </c>
      <c r="I8" s="106">
        <f>ROUND(Basisbedragen!$C$35*$Y$1,2)</f>
        <v>65.97</v>
      </c>
      <c r="J8" s="106">
        <f>ROUND(Basisbedragen!$C$36*$Y$1,2)</f>
        <v>53.47</v>
      </c>
      <c r="K8" s="504">
        <f>ROUND(Basisbedragen!$C$40*$Y$1,2)</f>
        <v>47.51</v>
      </c>
      <c r="L8" s="518"/>
      <c r="M8" s="106">
        <f>ROUND(Basisbedragen!$C$79*$Y$1,2)</f>
        <v>71.099999999999994</v>
      </c>
      <c r="N8" s="106">
        <f>ROUND(Basisbedragen!$C$80*$Y$1,2)</f>
        <v>62.64</v>
      </c>
      <c r="P8" s="67">
        <f>ROUND(B8/2,2)</f>
        <v>40.94</v>
      </c>
      <c r="Q8" s="106">
        <f>ROUND(C8/2,2)</f>
        <v>34.119999999999997</v>
      </c>
      <c r="S8" s="106">
        <f>ROUND(E8/2,2)</f>
        <v>31.11</v>
      </c>
      <c r="T8" s="106">
        <f>ROUND(F8/2,2)</f>
        <v>31.11</v>
      </c>
      <c r="U8" s="106">
        <f>ROUND(G8/2,2)</f>
        <v>31.11</v>
      </c>
      <c r="W8" s="106">
        <f t="shared" ref="W8:Y9" si="0">ROUND(I8/2,2)</f>
        <v>32.99</v>
      </c>
      <c r="X8" s="67">
        <f t="shared" si="0"/>
        <v>26.74</v>
      </c>
      <c r="Y8" s="106">
        <f t="shared" si="0"/>
        <v>23.76</v>
      </c>
      <c r="Z8" s="518"/>
      <c r="AA8" s="106">
        <f>ROUND(M8/2,2)</f>
        <v>35.549999999999997</v>
      </c>
      <c r="AB8" s="106">
        <f>ROUND(N8/2,2)</f>
        <v>31.32</v>
      </c>
    </row>
    <row r="9" spans="1:28" ht="15" outlineLevel="1" thickBot="1">
      <c r="A9" s="54">
        <v>1</v>
      </c>
      <c r="B9" s="59">
        <f>ROUND(A!$D9*1.2,2)</f>
        <v>81.88</v>
      </c>
      <c r="C9" s="59">
        <f>A!$D9</f>
        <v>68.23</v>
      </c>
      <c r="E9" s="59">
        <f>'TW-CT_JS'!D8</f>
        <v>62.22</v>
      </c>
      <c r="F9" s="59">
        <f>E9</f>
        <v>62.22</v>
      </c>
      <c r="G9" s="59">
        <f>E9</f>
        <v>62.22</v>
      </c>
      <c r="I9" s="59">
        <f>IF(ROUND(ROUND(('Loonschijven_Tranches salariale'!$Q8*0.6),4)*$Y$1,2)&lt;I$8,I$8,IF('Loonschijven_Tranches salariale'!$Q8&lt;Basisbedragen!$C$28,ROUND(ROUND(('Loonschijven_Tranches salariale'!$Q8*0.6),4)*$Y$1,2),ROUND(ROUND((Basisbedragen!$C$28*0.6),4)*$Y$1,2)))</f>
        <v>65.97</v>
      </c>
      <c r="J9" s="59">
        <f>IF(ROUND(ROUND(('Loonschijven_Tranches salariale'!$Q8*0.6),4)*$Y$1,2)&lt;J$8,J$8,IF('Loonschijven_Tranches salariale'!$Q8&lt;Basisbedragen!$C$28,ROUND(ROUND(('Loonschijven_Tranches salariale'!$Q8*0.6),4)*$Y$1,2),ROUND(ROUND((Basisbedragen!$C$28*0.6),4)*$Y$1,2)))</f>
        <v>53.47</v>
      </c>
      <c r="K9" s="505">
        <f>IF(ROUND(ROUND(('Loonschijven_Tranches salariale'!$Q8*0.6),4)*$Y$1,2)&lt;K$8,K$8,IF('Loonschijven_Tranches salariale'!$Q8&lt;Basisbedragen!$C$28,ROUND(ROUND(('Loonschijven_Tranches salariale'!$Q8*0.6),4)*$Y$1,2),ROUND(ROUND((Basisbedragen!$C$28*0.6),4)*$Y$1,2)))</f>
        <v>47.51</v>
      </c>
      <c r="L9" s="519"/>
      <c r="M9" s="59">
        <f>IF(ROUND(ROUND(('Loonschijven_Tranches salariale'!$Q8*0.6),4)*$Y$1,2)&lt;M$8,M$8,IF('Loonschijven_Tranches salariale'!$Q8&lt;Basisbedragen!$C$24,ROUND(ROUND(('Loonschijven_Tranches salariale'!$Q8*0.6),4)*$Y$1,2),ROUND(ROUND((Basisbedragen!$C$24*0.6),4)*$Y$1,2)))</f>
        <v>71.099999999999994</v>
      </c>
      <c r="N9" s="59">
        <f>IF(ROUND(ROUND(('Loonschijven_Tranches salariale'!$Q8*0.6),4)*$Y$1,2)&lt;N$8,N$8,IF('Loonschijven_Tranches salariale'!$Q8&lt;Basisbedragen!$C$24,ROUND(ROUND(('Loonschijven_Tranches salariale'!$Q8*0.6),4)*$Y$1,2),ROUND(ROUND((Basisbedragen!$C$24*0.6),4)*$Y$1,2)))</f>
        <v>62.64</v>
      </c>
      <c r="P9" s="59">
        <f>ROUND(B9/2,2)</f>
        <v>40.94</v>
      </c>
      <c r="Q9" s="59">
        <f>ROUND(C9/2,2)</f>
        <v>34.119999999999997</v>
      </c>
      <c r="S9" s="59">
        <f>'TW-CT_JS'!N8</f>
        <v>31.11</v>
      </c>
      <c r="T9" s="59">
        <f>S9</f>
        <v>31.11</v>
      </c>
      <c r="U9" s="59">
        <f>S9</f>
        <v>31.11</v>
      </c>
      <c r="W9" s="59">
        <f t="shared" si="0"/>
        <v>32.99</v>
      </c>
      <c r="X9" s="59">
        <f t="shared" si="0"/>
        <v>26.74</v>
      </c>
      <c r="Y9" s="59">
        <f t="shared" si="0"/>
        <v>23.76</v>
      </c>
      <c r="Z9" s="519"/>
      <c r="AA9" s="59">
        <f>ROUND(M9/2,2)</f>
        <v>35.549999999999997</v>
      </c>
      <c r="AB9" s="59">
        <f>ROUND(N9/2,2)</f>
        <v>31.32</v>
      </c>
    </row>
    <row r="10" spans="1:28" ht="15" outlineLevel="1" thickBot="1">
      <c r="A10" s="54">
        <f>A9+1</f>
        <v>2</v>
      </c>
      <c r="B10" s="59">
        <f>ROUND(A!$D10*1.2,2)</f>
        <v>81.88</v>
      </c>
      <c r="C10" s="59">
        <f>A!$D10</f>
        <v>68.23</v>
      </c>
      <c r="E10" s="59">
        <f>'TW-CT_JS'!D9</f>
        <v>62.22</v>
      </c>
      <c r="F10" s="59">
        <f t="shared" ref="F10:F73" si="1">E10</f>
        <v>62.22</v>
      </c>
      <c r="G10" s="59">
        <f t="shared" ref="G10:G73" si="2">E10</f>
        <v>62.22</v>
      </c>
      <c r="I10" s="59">
        <f>IF(ROUND(ROUND(('Loonschijven_Tranches salariale'!$Q9*0.6),4)*$Y$1,2)&lt;I$8,I$8,IF('Loonschijven_Tranches salariale'!$Q9&lt;Basisbedragen!$C$28,ROUND(ROUND(('Loonschijven_Tranches salariale'!$Q9*0.6),4)*$Y$1,2),ROUND(ROUND((Basisbedragen!$C$28*0.6),4)*$Y$1,2)))</f>
        <v>65.97</v>
      </c>
      <c r="J10" s="59">
        <f>IF(ROUND(ROUND(('Loonschijven_Tranches salariale'!$Q9*0.6),4)*$Y$1,2)&lt;J$8,J$8,IF('Loonschijven_Tranches salariale'!$Q9&lt;Basisbedragen!$C$28,ROUND(ROUND(('Loonschijven_Tranches salariale'!$Q9*0.6),4)*$Y$1,2),ROUND(ROUND((Basisbedragen!$C$28*0.6),4)*$Y$1,2)))</f>
        <v>53.47</v>
      </c>
      <c r="K10" s="505">
        <f>IF(ROUND(ROUND(('Loonschijven_Tranches salariale'!$Q9*0.6),4)*$Y$1,2)&lt;K$8,K$8,IF('Loonschijven_Tranches salariale'!$Q9&lt;Basisbedragen!$C$28,ROUND(ROUND(('Loonschijven_Tranches salariale'!$Q9*0.6),4)*$Y$1,2),ROUND(ROUND((Basisbedragen!$C$28*0.6),4)*$Y$1,2)))</f>
        <v>47.51</v>
      </c>
      <c r="L10" s="519"/>
      <c r="M10" s="59">
        <f>IF(ROUND(ROUND(('Loonschijven_Tranches salariale'!$Q9*0.6),4)*$Y$1,2)&lt;M$8,M$8,IF('Loonschijven_Tranches salariale'!$Q9&lt;Basisbedragen!$C$24,ROUND(ROUND(('Loonschijven_Tranches salariale'!$Q9*0.6),4)*$Y$1,2),ROUND(ROUND((Basisbedragen!$C$24*0.6),4)*$Y$1,2)))</f>
        <v>71.099999999999994</v>
      </c>
      <c r="N10" s="59">
        <f>IF(ROUND(ROUND(('Loonschijven_Tranches salariale'!$Q9*0.6),4)*$Y$1,2)&lt;N$8,N$8,IF('Loonschijven_Tranches salariale'!$Q9&lt;Basisbedragen!$C$24,ROUND(ROUND(('Loonschijven_Tranches salariale'!$Q9*0.6),4)*$Y$1,2),ROUND(ROUND((Basisbedragen!$C$24*0.6),4)*$Y$1,2)))</f>
        <v>62.64</v>
      </c>
      <c r="P10" s="59">
        <f t="shared" ref="P10:P73" si="3">ROUND(B10/2,2)</f>
        <v>40.94</v>
      </c>
      <c r="Q10" s="59">
        <f t="shared" ref="Q10:Q73" si="4">ROUND(C10/2,2)</f>
        <v>34.119999999999997</v>
      </c>
      <c r="S10" s="59">
        <f>'TW-CT_JS'!N9</f>
        <v>31.11</v>
      </c>
      <c r="T10" s="59">
        <f t="shared" ref="T10:T73" si="5">S10</f>
        <v>31.11</v>
      </c>
      <c r="U10" s="59">
        <f t="shared" ref="U10:U73" si="6">S10</f>
        <v>31.11</v>
      </c>
      <c r="W10" s="59">
        <f t="shared" ref="W10:W67" si="7">ROUND(I10/2,2)</f>
        <v>32.99</v>
      </c>
      <c r="X10" s="59">
        <f t="shared" ref="X10:X67" si="8">ROUND(J10/2,2)</f>
        <v>26.74</v>
      </c>
      <c r="Y10" s="59">
        <f t="shared" ref="Y10:Y67" si="9">ROUND(K10/2,2)</f>
        <v>23.76</v>
      </c>
      <c r="Z10" s="519"/>
      <c r="AA10" s="59">
        <f t="shared" ref="AA10:AB73" si="10">ROUND(M10/2,2)</f>
        <v>35.549999999999997</v>
      </c>
      <c r="AB10" s="59">
        <f t="shared" si="10"/>
        <v>31.32</v>
      </c>
    </row>
    <row r="11" spans="1:28" ht="15" outlineLevel="1" thickBot="1">
      <c r="A11" s="54">
        <f t="shared" ref="A11:A74" si="11">A10+1</f>
        <v>3</v>
      </c>
      <c r="B11" s="59">
        <f>ROUND(A!$D11*1.2,2)</f>
        <v>81.88</v>
      </c>
      <c r="C11" s="59">
        <f>A!$D11</f>
        <v>68.23</v>
      </c>
      <c r="E11" s="59">
        <f>'TW-CT_JS'!D10</f>
        <v>62.22</v>
      </c>
      <c r="F11" s="59">
        <f t="shared" si="1"/>
        <v>62.22</v>
      </c>
      <c r="G11" s="59">
        <f t="shared" si="2"/>
        <v>62.22</v>
      </c>
      <c r="I11" s="59">
        <f>IF(ROUND(ROUND(('Loonschijven_Tranches salariale'!$Q10*0.6),4)*$Y$1,2)&lt;I$8,I$8,IF('Loonschijven_Tranches salariale'!$Q10&lt;Basisbedragen!$C$28,ROUND(ROUND(('Loonschijven_Tranches salariale'!$Q10*0.6),4)*$Y$1,2),ROUND(ROUND((Basisbedragen!$C$28*0.6),4)*$Y$1,2)))</f>
        <v>65.97</v>
      </c>
      <c r="J11" s="59">
        <f>IF(ROUND(ROUND(('Loonschijven_Tranches salariale'!$Q10*0.6),4)*$Y$1,2)&lt;J$8,J$8,IF('Loonschijven_Tranches salariale'!$Q10&lt;Basisbedragen!$C$28,ROUND(ROUND(('Loonschijven_Tranches salariale'!$Q10*0.6),4)*$Y$1,2),ROUND(ROUND((Basisbedragen!$C$28*0.6),4)*$Y$1,2)))</f>
        <v>53.47</v>
      </c>
      <c r="K11" s="505">
        <f>IF(ROUND(ROUND(('Loonschijven_Tranches salariale'!$Q10*0.6),4)*$Y$1,2)&lt;K$8,K$8,IF('Loonschijven_Tranches salariale'!$Q10&lt;Basisbedragen!$C$28,ROUND(ROUND(('Loonschijven_Tranches salariale'!$Q10*0.6),4)*$Y$1,2),ROUND(ROUND((Basisbedragen!$C$28*0.6),4)*$Y$1,2)))</f>
        <v>47.51</v>
      </c>
      <c r="L11" s="519"/>
      <c r="M11" s="59">
        <f>IF(ROUND(ROUND(('Loonschijven_Tranches salariale'!$Q10*0.6),4)*$Y$1,2)&lt;M$8,M$8,IF('Loonschijven_Tranches salariale'!$Q10&lt;Basisbedragen!$C$24,ROUND(ROUND(('Loonschijven_Tranches salariale'!$Q10*0.6),4)*$Y$1,2),ROUND(ROUND((Basisbedragen!$C$24*0.6),4)*$Y$1,2)))</f>
        <v>71.099999999999994</v>
      </c>
      <c r="N11" s="59">
        <f>IF(ROUND(ROUND(('Loonschijven_Tranches salariale'!$Q10*0.6),4)*$Y$1,2)&lt;N$8,N$8,IF('Loonschijven_Tranches salariale'!$Q10&lt;Basisbedragen!$C$24,ROUND(ROUND(('Loonschijven_Tranches salariale'!$Q10*0.6),4)*$Y$1,2),ROUND(ROUND((Basisbedragen!$C$24*0.6),4)*$Y$1,2)))</f>
        <v>62.64</v>
      </c>
      <c r="P11" s="59">
        <f t="shared" si="3"/>
        <v>40.94</v>
      </c>
      <c r="Q11" s="59">
        <f t="shared" si="4"/>
        <v>34.119999999999997</v>
      </c>
      <c r="S11" s="59">
        <f>'TW-CT_JS'!N10</f>
        <v>31.11</v>
      </c>
      <c r="T11" s="59">
        <f t="shared" si="5"/>
        <v>31.11</v>
      </c>
      <c r="U11" s="59">
        <f t="shared" si="6"/>
        <v>31.11</v>
      </c>
      <c r="W11" s="59">
        <f t="shared" si="7"/>
        <v>32.99</v>
      </c>
      <c r="X11" s="59">
        <f t="shared" si="8"/>
        <v>26.74</v>
      </c>
      <c r="Y11" s="59">
        <f t="shared" si="9"/>
        <v>23.76</v>
      </c>
      <c r="Z11" s="519"/>
      <c r="AA11" s="59">
        <f t="shared" si="10"/>
        <v>35.549999999999997</v>
      </c>
      <c r="AB11" s="59">
        <f t="shared" si="10"/>
        <v>31.32</v>
      </c>
    </row>
    <row r="12" spans="1:28" ht="15" outlineLevel="1" thickBot="1">
      <c r="A12" s="54">
        <f t="shared" si="11"/>
        <v>4</v>
      </c>
      <c r="B12" s="59">
        <f>ROUND(A!$D12*1.2,2)</f>
        <v>81.88</v>
      </c>
      <c r="C12" s="59">
        <f>A!$D12</f>
        <v>68.23</v>
      </c>
      <c r="E12" s="59">
        <f>'TW-CT_JS'!D11</f>
        <v>62.22</v>
      </c>
      <c r="F12" s="59">
        <f t="shared" si="1"/>
        <v>62.22</v>
      </c>
      <c r="G12" s="59">
        <f t="shared" si="2"/>
        <v>62.22</v>
      </c>
      <c r="I12" s="59">
        <f>IF(ROUND(ROUND(('Loonschijven_Tranches salariale'!$Q11*0.6),4)*$Y$1,2)&lt;I$8,I$8,IF('Loonschijven_Tranches salariale'!$Q11&lt;Basisbedragen!$C$28,ROUND(ROUND(('Loonschijven_Tranches salariale'!$Q11*0.6),4)*$Y$1,2),ROUND(ROUND((Basisbedragen!$C$28*0.6),4)*$Y$1,2)))</f>
        <v>65.97</v>
      </c>
      <c r="J12" s="59">
        <f>IF(ROUND(ROUND(('Loonschijven_Tranches salariale'!$Q11*0.6),4)*$Y$1,2)&lt;J$8,J$8,IF('Loonschijven_Tranches salariale'!$Q11&lt;Basisbedragen!$C$28,ROUND(ROUND(('Loonschijven_Tranches salariale'!$Q11*0.6),4)*$Y$1,2),ROUND(ROUND((Basisbedragen!$C$28*0.6),4)*$Y$1,2)))</f>
        <v>53.47</v>
      </c>
      <c r="K12" s="505">
        <f>IF(ROUND(ROUND(('Loonschijven_Tranches salariale'!$Q11*0.6),4)*$Y$1,2)&lt;K$8,K$8,IF('Loonschijven_Tranches salariale'!$Q11&lt;Basisbedragen!$C$28,ROUND(ROUND(('Loonschijven_Tranches salariale'!$Q11*0.6),4)*$Y$1,2),ROUND(ROUND((Basisbedragen!$C$28*0.6),4)*$Y$1,2)))</f>
        <v>47.51</v>
      </c>
      <c r="L12" s="519"/>
      <c r="M12" s="59">
        <f>IF(ROUND(ROUND(('Loonschijven_Tranches salariale'!$Q11*0.6),4)*$Y$1,2)&lt;M$8,M$8,IF('Loonschijven_Tranches salariale'!$Q11&lt;Basisbedragen!$C$24,ROUND(ROUND(('Loonschijven_Tranches salariale'!$Q11*0.6),4)*$Y$1,2),ROUND(ROUND((Basisbedragen!$C$24*0.6),4)*$Y$1,2)))</f>
        <v>71.099999999999994</v>
      </c>
      <c r="N12" s="59">
        <f>IF(ROUND(ROUND(('Loonschijven_Tranches salariale'!$Q11*0.6),4)*$Y$1,2)&lt;N$8,N$8,IF('Loonschijven_Tranches salariale'!$Q11&lt;Basisbedragen!$C$24,ROUND(ROUND(('Loonschijven_Tranches salariale'!$Q11*0.6),4)*$Y$1,2),ROUND(ROUND((Basisbedragen!$C$24*0.6),4)*$Y$1,2)))</f>
        <v>62.64</v>
      </c>
      <c r="P12" s="59">
        <f t="shared" si="3"/>
        <v>40.94</v>
      </c>
      <c r="Q12" s="59">
        <f t="shared" si="4"/>
        <v>34.119999999999997</v>
      </c>
      <c r="S12" s="59">
        <f>'TW-CT_JS'!N11</f>
        <v>31.11</v>
      </c>
      <c r="T12" s="59">
        <f t="shared" si="5"/>
        <v>31.11</v>
      </c>
      <c r="U12" s="59">
        <f t="shared" si="6"/>
        <v>31.11</v>
      </c>
      <c r="W12" s="59">
        <f t="shared" si="7"/>
        <v>32.99</v>
      </c>
      <c r="X12" s="59">
        <f t="shared" si="8"/>
        <v>26.74</v>
      </c>
      <c r="Y12" s="59">
        <f t="shared" si="9"/>
        <v>23.76</v>
      </c>
      <c r="Z12" s="519"/>
      <c r="AA12" s="59">
        <f t="shared" si="10"/>
        <v>35.549999999999997</v>
      </c>
      <c r="AB12" s="59">
        <f t="shared" si="10"/>
        <v>31.32</v>
      </c>
    </row>
    <row r="13" spans="1:28" ht="15" outlineLevel="1" thickBot="1">
      <c r="A13" s="54">
        <f t="shared" si="11"/>
        <v>5</v>
      </c>
      <c r="B13" s="59">
        <f>ROUND(A!$D13*1.2,2)</f>
        <v>81.88</v>
      </c>
      <c r="C13" s="59">
        <f>A!$D13</f>
        <v>68.23</v>
      </c>
      <c r="E13" s="59">
        <f>'TW-CT_JS'!D12</f>
        <v>62.22</v>
      </c>
      <c r="F13" s="59">
        <f t="shared" si="1"/>
        <v>62.22</v>
      </c>
      <c r="G13" s="59">
        <f t="shared" si="2"/>
        <v>62.22</v>
      </c>
      <c r="I13" s="59">
        <f>IF(ROUND(ROUND(('Loonschijven_Tranches salariale'!$Q12*0.6),4)*$Y$1,2)&lt;I$8,I$8,IF('Loonschijven_Tranches salariale'!$Q12&lt;Basisbedragen!$C$28,ROUND(ROUND(('Loonschijven_Tranches salariale'!$Q12*0.6),4)*$Y$1,2),ROUND(ROUND((Basisbedragen!$C$28*0.6),4)*$Y$1,2)))</f>
        <v>65.97</v>
      </c>
      <c r="J13" s="59">
        <f>IF(ROUND(ROUND(('Loonschijven_Tranches salariale'!$Q12*0.6),4)*$Y$1,2)&lt;J$8,J$8,IF('Loonschijven_Tranches salariale'!$Q12&lt;Basisbedragen!$C$28,ROUND(ROUND(('Loonschijven_Tranches salariale'!$Q12*0.6),4)*$Y$1,2),ROUND(ROUND((Basisbedragen!$C$28*0.6),4)*$Y$1,2)))</f>
        <v>53.47</v>
      </c>
      <c r="K13" s="59">
        <f>IF(ROUND(ROUND(('Loonschijven_Tranches salariale'!$Q12*0.6),4)*$Y$1,2)&lt;K$8,K$8,IF('Loonschijven_Tranches salariale'!$Q12&lt;Basisbedragen!$C$28,ROUND(ROUND(('Loonschijven_Tranches salariale'!$Q12*0.6),4)*$Y$1,2),ROUND(ROUND((Basisbedragen!$C$28*0.6),4)*$Y$1,2)))</f>
        <v>47.51</v>
      </c>
      <c r="L13"/>
      <c r="M13" s="59">
        <f>IF(ROUND(ROUND(('Loonschijven_Tranches salariale'!$Q12*0.6),4)*$Y$1,2)&lt;M$8,M$8,IF('Loonschijven_Tranches salariale'!$Q12&lt;Basisbedragen!$C$24,ROUND(ROUND(('Loonschijven_Tranches salariale'!$Q12*0.6),4)*$Y$1,2),ROUND(ROUND((Basisbedragen!$C$24*0.6),4)*$Y$1,2)))</f>
        <v>71.099999999999994</v>
      </c>
      <c r="N13" s="59">
        <f>IF(ROUND(ROUND(('Loonschijven_Tranches salariale'!$Q12*0.6),4)*$Y$1,2)&lt;N$8,N$8,IF('Loonschijven_Tranches salariale'!$Q12&lt;Basisbedragen!$C$24,ROUND(ROUND(('Loonschijven_Tranches salariale'!$Q12*0.6),4)*$Y$1,2),ROUND(ROUND((Basisbedragen!$C$24*0.6),4)*$Y$1,2)))</f>
        <v>62.64</v>
      </c>
      <c r="P13" s="59">
        <f t="shared" si="3"/>
        <v>40.94</v>
      </c>
      <c r="Q13" s="59">
        <f t="shared" si="4"/>
        <v>34.119999999999997</v>
      </c>
      <c r="S13" s="59">
        <f>'TW-CT_JS'!N12</f>
        <v>31.11</v>
      </c>
      <c r="T13" s="59">
        <f t="shared" si="5"/>
        <v>31.11</v>
      </c>
      <c r="U13" s="59">
        <f t="shared" si="6"/>
        <v>31.11</v>
      </c>
      <c r="W13" s="59">
        <f t="shared" si="7"/>
        <v>32.99</v>
      </c>
      <c r="X13" s="59">
        <f t="shared" si="8"/>
        <v>26.74</v>
      </c>
      <c r="Y13" s="59">
        <f t="shared" si="9"/>
        <v>23.76</v>
      </c>
      <c r="Z13"/>
      <c r="AA13" s="59">
        <f t="shared" si="10"/>
        <v>35.549999999999997</v>
      </c>
      <c r="AB13" s="59">
        <f t="shared" si="10"/>
        <v>31.32</v>
      </c>
    </row>
    <row r="14" spans="1:28" ht="15" outlineLevel="1" thickBot="1">
      <c r="A14" s="54">
        <f t="shared" si="11"/>
        <v>6</v>
      </c>
      <c r="B14" s="59">
        <f>ROUND(A!$D14*1.2,2)</f>
        <v>81.88</v>
      </c>
      <c r="C14" s="59">
        <f>A!$D14</f>
        <v>68.23</v>
      </c>
      <c r="E14" s="59">
        <f>'TW-CT_JS'!D13</f>
        <v>62.22</v>
      </c>
      <c r="F14" s="59">
        <f t="shared" si="1"/>
        <v>62.22</v>
      </c>
      <c r="G14" s="59">
        <f t="shared" si="2"/>
        <v>62.22</v>
      </c>
      <c r="I14" s="59">
        <f>IF(ROUND(ROUND(('Loonschijven_Tranches salariale'!$Q13*0.6),4)*$Y$1,2)&lt;I$8,I$8,IF('Loonschijven_Tranches salariale'!$Q13&lt;Basisbedragen!$C$28,ROUND(ROUND(('Loonschijven_Tranches salariale'!$Q13*0.6),4)*$Y$1,2),ROUND(ROUND((Basisbedragen!$C$28*0.6),4)*$Y$1,2)))</f>
        <v>65.97</v>
      </c>
      <c r="J14" s="59">
        <f>IF(ROUND(ROUND(('Loonschijven_Tranches salariale'!$Q13*0.6),4)*$Y$1,2)&lt;J$8,J$8,IF('Loonschijven_Tranches salariale'!$Q13&lt;Basisbedragen!$C$28,ROUND(ROUND(('Loonschijven_Tranches salariale'!$Q13*0.6),4)*$Y$1,2),ROUND(ROUND((Basisbedragen!$C$28*0.6),4)*$Y$1,2)))</f>
        <v>53.47</v>
      </c>
      <c r="K14" s="505">
        <f>IF(ROUND(ROUND(('Loonschijven_Tranches salariale'!$Q13*0.6),4)*$Y$1,2)&lt;K$8,K$8,IF('Loonschijven_Tranches salariale'!$Q13&lt;Basisbedragen!$C$28,ROUND(ROUND(('Loonschijven_Tranches salariale'!$Q13*0.6),4)*$Y$1,2),ROUND(ROUND((Basisbedragen!$C$28*0.6),4)*$Y$1,2)))</f>
        <v>47.51</v>
      </c>
      <c r="L14" s="519"/>
      <c r="M14" s="59">
        <f>IF(ROUND(ROUND(('Loonschijven_Tranches salariale'!$Q13*0.6),4)*$Y$1,2)&lt;M$8,M$8,IF('Loonschijven_Tranches salariale'!$Q13&lt;Basisbedragen!$C$24,ROUND(ROUND(('Loonschijven_Tranches salariale'!$Q13*0.6),4)*$Y$1,2),ROUND(ROUND((Basisbedragen!$C$24*0.6),4)*$Y$1,2)))</f>
        <v>71.099999999999994</v>
      </c>
      <c r="N14" s="59">
        <f>IF(ROUND(ROUND(('Loonschijven_Tranches salariale'!$Q13*0.6),4)*$Y$1,2)&lt;N$8,N$8,IF('Loonschijven_Tranches salariale'!$Q13&lt;Basisbedragen!$C$24,ROUND(ROUND(('Loonschijven_Tranches salariale'!$Q13*0.6),4)*$Y$1,2),ROUND(ROUND((Basisbedragen!$C$24*0.6),4)*$Y$1,2)))</f>
        <v>62.64</v>
      </c>
      <c r="P14" s="59">
        <f t="shared" si="3"/>
        <v>40.94</v>
      </c>
      <c r="Q14" s="59">
        <f t="shared" si="4"/>
        <v>34.119999999999997</v>
      </c>
      <c r="S14" s="59">
        <f>'TW-CT_JS'!N13</f>
        <v>31.11</v>
      </c>
      <c r="T14" s="59">
        <f t="shared" si="5"/>
        <v>31.11</v>
      </c>
      <c r="U14" s="59">
        <f t="shared" si="6"/>
        <v>31.11</v>
      </c>
      <c r="W14" s="59">
        <f t="shared" si="7"/>
        <v>32.99</v>
      </c>
      <c r="X14" s="59">
        <f t="shared" si="8"/>
        <v>26.74</v>
      </c>
      <c r="Y14" s="59">
        <f t="shared" si="9"/>
        <v>23.76</v>
      </c>
      <c r="Z14" s="519"/>
      <c r="AA14" s="59">
        <f t="shared" si="10"/>
        <v>35.549999999999997</v>
      </c>
      <c r="AB14" s="59">
        <f t="shared" si="10"/>
        <v>31.32</v>
      </c>
    </row>
    <row r="15" spans="1:28" ht="15" outlineLevel="1" thickBot="1">
      <c r="A15" s="54">
        <f t="shared" si="11"/>
        <v>7</v>
      </c>
      <c r="B15" s="59">
        <f>ROUND(A!$D15*1.2,2)</f>
        <v>81.88</v>
      </c>
      <c r="C15" s="59">
        <f>A!$D15</f>
        <v>68.23</v>
      </c>
      <c r="E15" s="59">
        <f>'TW-CT_JS'!D14</f>
        <v>62.22</v>
      </c>
      <c r="F15" s="59">
        <f t="shared" si="1"/>
        <v>62.22</v>
      </c>
      <c r="G15" s="59">
        <f t="shared" si="2"/>
        <v>62.22</v>
      </c>
      <c r="I15" s="59">
        <f>IF(ROUND(ROUND(('Loonschijven_Tranches salariale'!$Q14*0.6),4)*$Y$1,2)&lt;I$8,I$8,IF('Loonschijven_Tranches salariale'!$Q14&lt;Basisbedragen!$C$28,ROUND(ROUND(('Loonschijven_Tranches salariale'!$Q14*0.6),4)*$Y$1,2),ROUND(ROUND((Basisbedragen!$C$28*0.6),4)*$Y$1,2)))</f>
        <v>65.97</v>
      </c>
      <c r="J15" s="59">
        <f>IF(ROUND(ROUND(('Loonschijven_Tranches salariale'!$Q14*0.6),4)*$Y$1,2)&lt;J$8,J$8,IF('Loonschijven_Tranches salariale'!$Q14&lt;Basisbedragen!$C$28,ROUND(ROUND(('Loonschijven_Tranches salariale'!$Q14*0.6),4)*$Y$1,2),ROUND(ROUND((Basisbedragen!$C$28*0.6),4)*$Y$1,2)))</f>
        <v>53.47</v>
      </c>
      <c r="K15" s="505">
        <f>IF(ROUND(ROUND(('Loonschijven_Tranches salariale'!$Q14*0.6),4)*$Y$1,2)&lt;K$8,K$8,IF('Loonschijven_Tranches salariale'!$Q14&lt;Basisbedragen!$C$28,ROUND(ROUND(('Loonschijven_Tranches salariale'!$Q14*0.6),4)*$Y$1,2),ROUND(ROUND((Basisbedragen!$C$28*0.6),4)*$Y$1,2)))</f>
        <v>47.51</v>
      </c>
      <c r="L15" s="519"/>
      <c r="M15" s="59">
        <f>IF(ROUND(ROUND(('Loonschijven_Tranches salariale'!$Q14*0.6),4)*$Y$1,2)&lt;M$8,M$8,IF('Loonschijven_Tranches salariale'!$Q14&lt;Basisbedragen!$C$24,ROUND(ROUND(('Loonschijven_Tranches salariale'!$Q14*0.6),4)*$Y$1,2),ROUND(ROUND((Basisbedragen!$C$24*0.6),4)*$Y$1,2)))</f>
        <v>71.099999999999994</v>
      </c>
      <c r="N15" s="59">
        <f>IF(ROUND(ROUND(('Loonschijven_Tranches salariale'!$Q14*0.6),4)*$Y$1,2)&lt;N$8,N$8,IF('Loonschijven_Tranches salariale'!$Q14&lt;Basisbedragen!$C$24,ROUND(ROUND(('Loonschijven_Tranches salariale'!$Q14*0.6),4)*$Y$1,2),ROUND(ROUND((Basisbedragen!$C$24*0.6),4)*$Y$1,2)))</f>
        <v>62.64</v>
      </c>
      <c r="P15" s="59">
        <f t="shared" si="3"/>
        <v>40.94</v>
      </c>
      <c r="Q15" s="59">
        <f t="shared" si="4"/>
        <v>34.119999999999997</v>
      </c>
      <c r="S15" s="59">
        <f>'TW-CT_JS'!N14</f>
        <v>31.11</v>
      </c>
      <c r="T15" s="59">
        <f t="shared" si="5"/>
        <v>31.11</v>
      </c>
      <c r="U15" s="59">
        <f t="shared" si="6"/>
        <v>31.11</v>
      </c>
      <c r="W15" s="59">
        <f t="shared" si="7"/>
        <v>32.99</v>
      </c>
      <c r="X15" s="59">
        <f t="shared" si="8"/>
        <v>26.74</v>
      </c>
      <c r="Y15" s="59">
        <f t="shared" si="9"/>
        <v>23.76</v>
      </c>
      <c r="Z15" s="519"/>
      <c r="AA15" s="59">
        <f t="shared" si="10"/>
        <v>35.549999999999997</v>
      </c>
      <c r="AB15" s="59">
        <f t="shared" si="10"/>
        <v>31.32</v>
      </c>
    </row>
    <row r="16" spans="1:28" ht="15" outlineLevel="1" thickBot="1">
      <c r="A16" s="54">
        <f t="shared" si="11"/>
        <v>8</v>
      </c>
      <c r="B16" s="59">
        <f>ROUND(A!$D16*1.2,2)</f>
        <v>81.88</v>
      </c>
      <c r="C16" s="59">
        <f>A!$D16</f>
        <v>68.23</v>
      </c>
      <c r="E16" s="59">
        <f>'TW-CT_JS'!D15</f>
        <v>62.22</v>
      </c>
      <c r="F16" s="59">
        <f t="shared" si="1"/>
        <v>62.22</v>
      </c>
      <c r="G16" s="59">
        <f t="shared" si="2"/>
        <v>62.22</v>
      </c>
      <c r="I16" s="59">
        <f>IF(ROUND(ROUND(('Loonschijven_Tranches salariale'!$Q15*0.6),4)*$Y$1,2)&lt;I$8,I$8,IF('Loonschijven_Tranches salariale'!$Q15&lt;Basisbedragen!$C$28,ROUND(ROUND(('Loonschijven_Tranches salariale'!$Q15*0.6),4)*$Y$1,2),ROUND(ROUND((Basisbedragen!$C$28*0.6),4)*$Y$1,2)))</f>
        <v>65.97</v>
      </c>
      <c r="J16" s="59">
        <f>IF(ROUND(ROUND(('Loonschijven_Tranches salariale'!$Q15*0.6),4)*$Y$1,2)&lt;J$8,J$8,IF('Loonschijven_Tranches salariale'!$Q15&lt;Basisbedragen!$C$28,ROUND(ROUND(('Loonschijven_Tranches salariale'!$Q15*0.6),4)*$Y$1,2),ROUND(ROUND((Basisbedragen!$C$28*0.6),4)*$Y$1,2)))</f>
        <v>53.47</v>
      </c>
      <c r="K16" s="505">
        <f>IF(ROUND(ROUND(('Loonschijven_Tranches salariale'!$Q15*0.6),4)*$Y$1,2)&lt;K$8,K$8,IF('Loonschijven_Tranches salariale'!$Q15&lt;Basisbedragen!$C$28,ROUND(ROUND(('Loonschijven_Tranches salariale'!$Q15*0.6),4)*$Y$1,2),ROUND(ROUND((Basisbedragen!$C$28*0.6),4)*$Y$1,2)))</f>
        <v>47.51</v>
      </c>
      <c r="L16" s="519"/>
      <c r="M16" s="59">
        <f>IF(ROUND(ROUND(('Loonschijven_Tranches salariale'!$Q15*0.6),4)*$Y$1,2)&lt;M$8,M$8,IF('Loonschijven_Tranches salariale'!$Q15&lt;Basisbedragen!$C$24,ROUND(ROUND(('Loonschijven_Tranches salariale'!$Q15*0.6),4)*$Y$1,2),ROUND(ROUND((Basisbedragen!$C$24*0.6),4)*$Y$1,2)))</f>
        <v>71.099999999999994</v>
      </c>
      <c r="N16" s="59">
        <f>IF(ROUND(ROUND(('Loonschijven_Tranches salariale'!$Q15*0.6),4)*$Y$1,2)&lt;N$8,N$8,IF('Loonschijven_Tranches salariale'!$Q15&lt;Basisbedragen!$C$24,ROUND(ROUND(('Loonschijven_Tranches salariale'!$Q15*0.6),4)*$Y$1,2),ROUND(ROUND((Basisbedragen!$C$24*0.6),4)*$Y$1,2)))</f>
        <v>62.64</v>
      </c>
      <c r="P16" s="59">
        <f t="shared" si="3"/>
        <v>40.94</v>
      </c>
      <c r="Q16" s="59">
        <f t="shared" si="4"/>
        <v>34.119999999999997</v>
      </c>
      <c r="S16" s="59">
        <f>'TW-CT_JS'!N15</f>
        <v>31.11</v>
      </c>
      <c r="T16" s="59">
        <f t="shared" si="5"/>
        <v>31.11</v>
      </c>
      <c r="U16" s="59">
        <f t="shared" si="6"/>
        <v>31.11</v>
      </c>
      <c r="W16" s="59">
        <f t="shared" si="7"/>
        <v>32.99</v>
      </c>
      <c r="X16" s="59">
        <f t="shared" si="8"/>
        <v>26.74</v>
      </c>
      <c r="Y16" s="59">
        <f t="shared" si="9"/>
        <v>23.76</v>
      </c>
      <c r="Z16"/>
      <c r="AA16" s="59">
        <f t="shared" si="10"/>
        <v>35.549999999999997</v>
      </c>
      <c r="AB16" s="59">
        <f t="shared" si="10"/>
        <v>31.32</v>
      </c>
    </row>
    <row r="17" spans="1:28" ht="15" outlineLevel="1" thickBot="1">
      <c r="A17" s="54">
        <f t="shared" si="11"/>
        <v>9</v>
      </c>
      <c r="B17" s="59">
        <f>ROUND(A!$D17*1.2,2)</f>
        <v>81.88</v>
      </c>
      <c r="C17" s="59">
        <f>A!$D17</f>
        <v>68.23</v>
      </c>
      <c r="E17" s="59">
        <f>'TW-CT_JS'!D16</f>
        <v>62.22</v>
      </c>
      <c r="F17" s="59">
        <f t="shared" si="1"/>
        <v>62.22</v>
      </c>
      <c r="G17" s="59">
        <f t="shared" si="2"/>
        <v>62.22</v>
      </c>
      <c r="I17" s="59">
        <f>IF(ROUND(ROUND(('Loonschijven_Tranches salariale'!$Q16*0.6),4)*$Y$1,2)&lt;I$8,I$8,IF('Loonschijven_Tranches salariale'!$Q16&lt;Basisbedragen!$C$28,ROUND(ROUND(('Loonschijven_Tranches salariale'!$Q16*0.6),4)*$Y$1,2),ROUND(ROUND((Basisbedragen!$C$28*0.6),4)*$Y$1,2)))</f>
        <v>65.97</v>
      </c>
      <c r="J17" s="59">
        <f>IF(ROUND(ROUND(('Loonschijven_Tranches salariale'!$Q16*0.6),4)*$Y$1,2)&lt;J$8,J$8,IF('Loonschijven_Tranches salariale'!$Q16&lt;Basisbedragen!$C$28,ROUND(ROUND(('Loonschijven_Tranches salariale'!$Q16*0.6),4)*$Y$1,2),ROUND(ROUND((Basisbedragen!$C$28*0.6),4)*$Y$1,2)))</f>
        <v>53.47</v>
      </c>
      <c r="K17" s="505">
        <f>IF(ROUND(ROUND(('Loonschijven_Tranches salariale'!$Q16*0.6),4)*$Y$1,2)&lt;K$8,K$8,IF('Loonschijven_Tranches salariale'!$Q16&lt;Basisbedragen!$C$28,ROUND(ROUND(('Loonschijven_Tranches salariale'!$Q16*0.6),4)*$Y$1,2),ROUND(ROUND((Basisbedragen!$C$28*0.6),4)*$Y$1,2)))</f>
        <v>47.51</v>
      </c>
      <c r="L17" s="519"/>
      <c r="M17" s="59">
        <f>IF(ROUND(ROUND(('Loonschijven_Tranches salariale'!$Q16*0.6),4)*$Y$1,2)&lt;M$8,M$8,IF('Loonschijven_Tranches salariale'!$Q16&lt;Basisbedragen!$C$24,ROUND(ROUND(('Loonschijven_Tranches salariale'!$Q16*0.6),4)*$Y$1,2),ROUND(ROUND((Basisbedragen!$C$24*0.6),4)*$Y$1,2)))</f>
        <v>71.099999999999994</v>
      </c>
      <c r="N17" s="59">
        <f>IF(ROUND(ROUND(('Loonschijven_Tranches salariale'!$Q16*0.6),4)*$Y$1,2)&lt;N$8,N$8,IF('Loonschijven_Tranches salariale'!$Q16&lt;Basisbedragen!$C$24,ROUND(ROUND(('Loonschijven_Tranches salariale'!$Q16*0.6),4)*$Y$1,2),ROUND(ROUND((Basisbedragen!$C$24*0.6),4)*$Y$1,2)))</f>
        <v>62.64</v>
      </c>
      <c r="P17" s="59">
        <f t="shared" si="3"/>
        <v>40.94</v>
      </c>
      <c r="Q17" s="59">
        <f t="shared" si="4"/>
        <v>34.119999999999997</v>
      </c>
      <c r="S17" s="59">
        <f>'TW-CT_JS'!N16</f>
        <v>31.11</v>
      </c>
      <c r="T17" s="59">
        <f t="shared" si="5"/>
        <v>31.11</v>
      </c>
      <c r="U17" s="59">
        <f t="shared" si="6"/>
        <v>31.11</v>
      </c>
      <c r="W17" s="59">
        <f t="shared" si="7"/>
        <v>32.99</v>
      </c>
      <c r="X17" s="59">
        <f t="shared" si="8"/>
        <v>26.74</v>
      </c>
      <c r="Y17" s="59">
        <f t="shared" si="9"/>
        <v>23.76</v>
      </c>
      <c r="Z17" s="519"/>
      <c r="AA17" s="59">
        <f t="shared" si="10"/>
        <v>35.549999999999997</v>
      </c>
      <c r="AB17" s="59">
        <f t="shared" si="10"/>
        <v>31.32</v>
      </c>
    </row>
    <row r="18" spans="1:28" ht="15" outlineLevel="1" thickBot="1">
      <c r="A18" s="54">
        <f t="shared" si="11"/>
        <v>10</v>
      </c>
      <c r="B18" s="59">
        <f>ROUND(A!$D18*1.2,2)</f>
        <v>81.88</v>
      </c>
      <c r="C18" s="59">
        <f>A!$D18</f>
        <v>68.23</v>
      </c>
      <c r="E18" s="59">
        <f>'TW-CT_JS'!D17</f>
        <v>62.22</v>
      </c>
      <c r="F18" s="59">
        <f t="shared" si="1"/>
        <v>62.22</v>
      </c>
      <c r="G18" s="59">
        <f t="shared" si="2"/>
        <v>62.22</v>
      </c>
      <c r="I18" s="59">
        <f>IF(ROUND(ROUND(('Loonschijven_Tranches salariale'!$Q17*0.6),4)*$Y$1,2)&lt;I$8,I$8,IF('Loonschijven_Tranches salariale'!$Q17&lt;Basisbedragen!$C$28,ROUND(ROUND(('Loonschijven_Tranches salariale'!$Q17*0.6),4)*$Y$1,2),ROUND(ROUND((Basisbedragen!$C$28*0.6),4)*$Y$1,2)))</f>
        <v>65.97</v>
      </c>
      <c r="J18" s="59">
        <f>IF(ROUND(ROUND(('Loonschijven_Tranches salariale'!$Q17*0.6),4)*$Y$1,2)&lt;J$8,J$8,IF('Loonschijven_Tranches salariale'!$Q17&lt;Basisbedragen!$C$28,ROUND(ROUND(('Loonschijven_Tranches salariale'!$Q17*0.6),4)*$Y$1,2),ROUND(ROUND((Basisbedragen!$C$28*0.6),4)*$Y$1,2)))</f>
        <v>53.47</v>
      </c>
      <c r="K18" s="59">
        <f>IF(ROUND(ROUND(('Loonschijven_Tranches salariale'!$Q17*0.6),4)*$Y$1,2)&lt;K$8,K$8,IF('Loonschijven_Tranches salariale'!$Q17&lt;Basisbedragen!$C$28,ROUND(ROUND(('Loonschijven_Tranches salariale'!$Q17*0.6),4)*$Y$1,2),ROUND(ROUND((Basisbedragen!$C$28*0.6),4)*$Y$1,2)))</f>
        <v>47.51</v>
      </c>
      <c r="L18"/>
      <c r="M18" s="59">
        <f>IF(ROUND(ROUND(('Loonschijven_Tranches salariale'!$Q17*0.6),4)*$Y$1,2)&lt;M$8,M$8,IF('Loonschijven_Tranches salariale'!$Q17&lt;Basisbedragen!$C$24,ROUND(ROUND(('Loonschijven_Tranches salariale'!$Q17*0.6),4)*$Y$1,2),ROUND(ROUND((Basisbedragen!$C$24*0.6),4)*$Y$1,2)))</f>
        <v>71.099999999999994</v>
      </c>
      <c r="N18" s="59">
        <f>IF(ROUND(ROUND(('Loonschijven_Tranches salariale'!$Q17*0.6),4)*$Y$1,2)&lt;N$8,N$8,IF('Loonschijven_Tranches salariale'!$Q17&lt;Basisbedragen!$C$24,ROUND(ROUND(('Loonschijven_Tranches salariale'!$Q17*0.6),4)*$Y$1,2),ROUND(ROUND((Basisbedragen!$C$24*0.6),4)*$Y$1,2)))</f>
        <v>62.64</v>
      </c>
      <c r="P18" s="59">
        <f t="shared" si="3"/>
        <v>40.94</v>
      </c>
      <c r="Q18" s="59">
        <f t="shared" si="4"/>
        <v>34.119999999999997</v>
      </c>
      <c r="S18" s="59">
        <f>'TW-CT_JS'!N17</f>
        <v>31.11</v>
      </c>
      <c r="T18" s="59">
        <f t="shared" si="5"/>
        <v>31.11</v>
      </c>
      <c r="U18" s="59">
        <f t="shared" si="6"/>
        <v>31.11</v>
      </c>
      <c r="W18" s="59">
        <f t="shared" si="7"/>
        <v>32.99</v>
      </c>
      <c r="X18" s="59">
        <f t="shared" si="8"/>
        <v>26.74</v>
      </c>
      <c r="Y18" s="59">
        <f t="shared" si="9"/>
        <v>23.76</v>
      </c>
      <c r="Z18"/>
      <c r="AA18" s="59">
        <f t="shared" si="10"/>
        <v>35.549999999999997</v>
      </c>
      <c r="AB18" s="59">
        <f t="shared" si="10"/>
        <v>31.32</v>
      </c>
    </row>
    <row r="19" spans="1:28" ht="15" outlineLevel="1" thickBot="1">
      <c r="A19" s="54">
        <f t="shared" si="11"/>
        <v>11</v>
      </c>
      <c r="B19" s="59">
        <f>ROUND(A!$D19*1.2,2)</f>
        <v>81.88</v>
      </c>
      <c r="C19" s="59">
        <f>A!$D19</f>
        <v>68.23</v>
      </c>
      <c r="E19" s="59">
        <f>'TW-CT_JS'!D18</f>
        <v>62.22</v>
      </c>
      <c r="F19" s="59">
        <f t="shared" si="1"/>
        <v>62.22</v>
      </c>
      <c r="G19" s="59">
        <f t="shared" si="2"/>
        <v>62.22</v>
      </c>
      <c r="I19" s="59">
        <f>IF(ROUND(ROUND(('Loonschijven_Tranches salariale'!$Q18*0.6),4)*$Y$1,2)&lt;I$8,I$8,IF('Loonschijven_Tranches salariale'!$Q18&lt;Basisbedragen!$C$28,ROUND(ROUND(('Loonschijven_Tranches salariale'!$Q18*0.6),4)*$Y$1,2),ROUND(ROUND((Basisbedragen!$C$28*0.6),4)*$Y$1,2)))</f>
        <v>65.97</v>
      </c>
      <c r="J19" s="59">
        <f>IF(ROUND(ROUND(('Loonschijven_Tranches salariale'!$Q18*0.6),4)*$Y$1,2)&lt;J$8,J$8,IF('Loonschijven_Tranches salariale'!$Q18&lt;Basisbedragen!$C$28,ROUND(ROUND(('Loonschijven_Tranches salariale'!$Q18*0.6),4)*$Y$1,2),ROUND(ROUND((Basisbedragen!$C$28*0.6),4)*$Y$1,2)))</f>
        <v>53.47</v>
      </c>
      <c r="K19" s="505">
        <f>IF(ROUND(ROUND(('Loonschijven_Tranches salariale'!$Q18*0.6),4)*$Y$1,2)&lt;K$8,K$8,IF('Loonschijven_Tranches salariale'!$Q18&lt;Basisbedragen!$C$28,ROUND(ROUND(('Loonschijven_Tranches salariale'!$Q18*0.6),4)*$Y$1,2),ROUND(ROUND((Basisbedragen!$C$28*0.6),4)*$Y$1,2)))</f>
        <v>47.51</v>
      </c>
      <c r="L19" s="519"/>
      <c r="M19" s="59">
        <f>IF(ROUND(ROUND(('Loonschijven_Tranches salariale'!$Q18*0.6),4)*$Y$1,2)&lt;M$8,M$8,IF('Loonschijven_Tranches salariale'!$Q18&lt;Basisbedragen!$C$24,ROUND(ROUND(('Loonschijven_Tranches salariale'!$Q18*0.6),4)*$Y$1,2),ROUND(ROUND((Basisbedragen!$C$24*0.6),4)*$Y$1,2)))</f>
        <v>71.099999999999994</v>
      </c>
      <c r="N19" s="59">
        <f>IF(ROUND(ROUND(('Loonschijven_Tranches salariale'!$Q18*0.6),4)*$Y$1,2)&lt;N$8,N$8,IF('Loonschijven_Tranches salariale'!$Q18&lt;Basisbedragen!$C$24,ROUND(ROUND(('Loonschijven_Tranches salariale'!$Q18*0.6),4)*$Y$1,2),ROUND(ROUND((Basisbedragen!$C$24*0.6),4)*$Y$1,2)))</f>
        <v>62.64</v>
      </c>
      <c r="P19" s="59">
        <f t="shared" si="3"/>
        <v>40.94</v>
      </c>
      <c r="Q19" s="59">
        <f t="shared" si="4"/>
        <v>34.119999999999997</v>
      </c>
      <c r="S19" s="59">
        <f>'TW-CT_JS'!N18</f>
        <v>31.11</v>
      </c>
      <c r="T19" s="59">
        <f t="shared" si="5"/>
        <v>31.11</v>
      </c>
      <c r="U19" s="59">
        <f t="shared" si="6"/>
        <v>31.11</v>
      </c>
      <c r="W19" s="59">
        <f t="shared" si="7"/>
        <v>32.99</v>
      </c>
      <c r="X19" s="59">
        <f t="shared" si="8"/>
        <v>26.74</v>
      </c>
      <c r="Y19" s="59">
        <f t="shared" si="9"/>
        <v>23.76</v>
      </c>
      <c r="Z19" s="519"/>
      <c r="AA19" s="59">
        <f t="shared" si="10"/>
        <v>35.549999999999997</v>
      </c>
      <c r="AB19" s="59">
        <f t="shared" si="10"/>
        <v>31.32</v>
      </c>
    </row>
    <row r="20" spans="1:28" ht="15" outlineLevel="1" thickBot="1">
      <c r="A20" s="54">
        <f t="shared" si="11"/>
        <v>12</v>
      </c>
      <c r="B20" s="59">
        <f>ROUND(A!$D20*1.2,2)</f>
        <v>81.88</v>
      </c>
      <c r="C20" s="59">
        <f>A!$D20</f>
        <v>68.23</v>
      </c>
      <c r="E20" s="59">
        <f>'TW-CT_JS'!D19</f>
        <v>62.22</v>
      </c>
      <c r="F20" s="59">
        <f t="shared" si="1"/>
        <v>62.22</v>
      </c>
      <c r="G20" s="59">
        <f t="shared" si="2"/>
        <v>62.22</v>
      </c>
      <c r="I20" s="59">
        <f>IF(ROUND(ROUND(('Loonschijven_Tranches salariale'!$Q19*0.6),4)*$Y$1,2)&lt;I$8,I$8,IF('Loonschijven_Tranches salariale'!$Q19&lt;Basisbedragen!$C$28,ROUND(ROUND(('Loonschijven_Tranches salariale'!$Q19*0.6),4)*$Y$1,2),ROUND(ROUND((Basisbedragen!$C$28*0.6),4)*$Y$1,2)))</f>
        <v>65.97</v>
      </c>
      <c r="J20" s="59">
        <f>IF(ROUND(ROUND(('Loonschijven_Tranches salariale'!$Q19*0.6),4)*$Y$1,2)&lt;J$8,J$8,IF('Loonschijven_Tranches salariale'!$Q19&lt;Basisbedragen!$C$28,ROUND(ROUND(('Loonschijven_Tranches salariale'!$Q19*0.6),4)*$Y$1,2),ROUND(ROUND((Basisbedragen!$C$28*0.6),4)*$Y$1,2)))</f>
        <v>53.47</v>
      </c>
      <c r="K20" s="505">
        <f>IF(ROUND(ROUND(('Loonschijven_Tranches salariale'!$Q19*0.6),4)*$Y$1,2)&lt;K$8,K$8,IF('Loonschijven_Tranches salariale'!$Q19&lt;Basisbedragen!$C$28,ROUND(ROUND(('Loonschijven_Tranches salariale'!$Q19*0.6),4)*$Y$1,2),ROUND(ROUND((Basisbedragen!$C$28*0.6),4)*$Y$1,2)))</f>
        <v>47.51</v>
      </c>
      <c r="L20" s="519"/>
      <c r="M20" s="59">
        <f>IF(ROUND(ROUND(('Loonschijven_Tranches salariale'!$Q19*0.6),4)*$Y$1,2)&lt;M$8,M$8,IF('Loonschijven_Tranches salariale'!$Q19&lt;Basisbedragen!$C$24,ROUND(ROUND(('Loonschijven_Tranches salariale'!$Q19*0.6),4)*$Y$1,2),ROUND(ROUND((Basisbedragen!$C$24*0.6),4)*$Y$1,2)))</f>
        <v>71.099999999999994</v>
      </c>
      <c r="N20" s="59">
        <f>IF(ROUND(ROUND(('Loonschijven_Tranches salariale'!$Q19*0.6),4)*$Y$1,2)&lt;N$8,N$8,IF('Loonschijven_Tranches salariale'!$Q19&lt;Basisbedragen!$C$24,ROUND(ROUND(('Loonschijven_Tranches salariale'!$Q19*0.6),4)*$Y$1,2),ROUND(ROUND((Basisbedragen!$C$24*0.6),4)*$Y$1,2)))</f>
        <v>62.64</v>
      </c>
      <c r="P20" s="59">
        <f t="shared" si="3"/>
        <v>40.94</v>
      </c>
      <c r="Q20" s="59">
        <f t="shared" si="4"/>
        <v>34.119999999999997</v>
      </c>
      <c r="S20" s="59">
        <f>'TW-CT_JS'!N19</f>
        <v>31.11</v>
      </c>
      <c r="T20" s="59">
        <f t="shared" si="5"/>
        <v>31.11</v>
      </c>
      <c r="U20" s="59">
        <f t="shared" si="6"/>
        <v>31.11</v>
      </c>
      <c r="W20" s="59">
        <f t="shared" si="7"/>
        <v>32.99</v>
      </c>
      <c r="X20" s="59">
        <f t="shared" si="8"/>
        <v>26.74</v>
      </c>
      <c r="Y20" s="59">
        <f t="shared" si="9"/>
        <v>23.76</v>
      </c>
      <c r="Z20" s="519"/>
      <c r="AA20" s="59">
        <f t="shared" si="10"/>
        <v>35.549999999999997</v>
      </c>
      <c r="AB20" s="59">
        <f t="shared" si="10"/>
        <v>31.32</v>
      </c>
    </row>
    <row r="21" spans="1:28" ht="15" outlineLevel="1" thickBot="1">
      <c r="A21" s="54">
        <f t="shared" si="11"/>
        <v>13</v>
      </c>
      <c r="B21" s="59">
        <f>ROUND(A!$D21*1.2,2)</f>
        <v>81.88</v>
      </c>
      <c r="C21" s="59">
        <f>A!$D21</f>
        <v>68.23</v>
      </c>
      <c r="E21" s="59">
        <f>'TW-CT_JS'!D20</f>
        <v>62.22</v>
      </c>
      <c r="F21" s="59">
        <f t="shared" si="1"/>
        <v>62.22</v>
      </c>
      <c r="G21" s="59">
        <f t="shared" si="2"/>
        <v>62.22</v>
      </c>
      <c r="I21" s="59">
        <f>IF(ROUND(ROUND(('Loonschijven_Tranches salariale'!$Q20*0.6),4)*$Y$1,2)&lt;I$8,I$8,IF('Loonschijven_Tranches salariale'!$Q20&lt;Basisbedragen!$C$28,ROUND(ROUND(('Loonschijven_Tranches salariale'!$Q20*0.6),4)*$Y$1,2),ROUND(ROUND((Basisbedragen!$C$28*0.6),4)*$Y$1,2)))</f>
        <v>65.97</v>
      </c>
      <c r="J21" s="59">
        <f>IF(ROUND(ROUND(('Loonschijven_Tranches salariale'!$Q20*0.6),4)*$Y$1,2)&lt;J$8,J$8,IF('Loonschijven_Tranches salariale'!$Q20&lt;Basisbedragen!$C$28,ROUND(ROUND(('Loonschijven_Tranches salariale'!$Q20*0.6),4)*$Y$1,2),ROUND(ROUND((Basisbedragen!$C$28*0.6),4)*$Y$1,2)))</f>
        <v>53.47</v>
      </c>
      <c r="K21" s="505">
        <f>IF(ROUND(ROUND(('Loonschijven_Tranches salariale'!$Q20*0.6),4)*$Y$1,2)&lt;K$8,K$8,IF('Loonschijven_Tranches salariale'!$Q20&lt;Basisbedragen!$C$28,ROUND(ROUND(('Loonschijven_Tranches salariale'!$Q20*0.6),4)*$Y$1,2),ROUND(ROUND((Basisbedragen!$C$28*0.6),4)*$Y$1,2)))</f>
        <v>47.51</v>
      </c>
      <c r="L21" s="519"/>
      <c r="M21" s="59">
        <f>IF(ROUND(ROUND(('Loonschijven_Tranches salariale'!$Q20*0.6),4)*$Y$1,2)&lt;M$8,M$8,IF('Loonschijven_Tranches salariale'!$Q20&lt;Basisbedragen!$C$24,ROUND(ROUND(('Loonschijven_Tranches salariale'!$Q20*0.6),4)*$Y$1,2),ROUND(ROUND((Basisbedragen!$C$24*0.6),4)*$Y$1,2)))</f>
        <v>71.099999999999994</v>
      </c>
      <c r="N21" s="59">
        <f>IF(ROUND(ROUND(('Loonschijven_Tranches salariale'!$Q20*0.6),4)*$Y$1,2)&lt;N$8,N$8,IF('Loonschijven_Tranches salariale'!$Q20&lt;Basisbedragen!$C$24,ROUND(ROUND(('Loonschijven_Tranches salariale'!$Q20*0.6),4)*$Y$1,2),ROUND(ROUND((Basisbedragen!$C$24*0.6),4)*$Y$1,2)))</f>
        <v>62.64</v>
      </c>
      <c r="P21" s="59">
        <f t="shared" si="3"/>
        <v>40.94</v>
      </c>
      <c r="Q21" s="59">
        <f t="shared" si="4"/>
        <v>34.119999999999997</v>
      </c>
      <c r="S21" s="59">
        <f>'TW-CT_JS'!N20</f>
        <v>31.11</v>
      </c>
      <c r="T21" s="59">
        <f t="shared" si="5"/>
        <v>31.11</v>
      </c>
      <c r="U21" s="59">
        <f t="shared" si="6"/>
        <v>31.11</v>
      </c>
      <c r="W21" s="59">
        <f t="shared" si="7"/>
        <v>32.99</v>
      </c>
      <c r="X21" s="59">
        <f t="shared" si="8"/>
        <v>26.74</v>
      </c>
      <c r="Y21" s="59">
        <f t="shared" si="9"/>
        <v>23.76</v>
      </c>
      <c r="Z21" s="519"/>
      <c r="AA21" s="59">
        <f t="shared" si="10"/>
        <v>35.549999999999997</v>
      </c>
      <c r="AB21" s="59">
        <f t="shared" si="10"/>
        <v>31.32</v>
      </c>
    </row>
    <row r="22" spans="1:28" ht="15" outlineLevel="1" thickBot="1">
      <c r="A22" s="54">
        <f t="shared" si="11"/>
        <v>14</v>
      </c>
      <c r="B22" s="59">
        <f>ROUND(A!$D22*1.2,2)</f>
        <v>81.88</v>
      </c>
      <c r="C22" s="59">
        <f>A!$D22</f>
        <v>68.23</v>
      </c>
      <c r="E22" s="59">
        <f>'TW-CT_JS'!D21</f>
        <v>62.22</v>
      </c>
      <c r="F22" s="59">
        <f t="shared" si="1"/>
        <v>62.22</v>
      </c>
      <c r="G22" s="59">
        <f t="shared" si="2"/>
        <v>62.22</v>
      </c>
      <c r="I22" s="59">
        <f>IF(ROUND(ROUND(('Loonschijven_Tranches salariale'!$Q21*0.6),4)*$Y$1,2)&lt;I$8,I$8,IF('Loonschijven_Tranches salariale'!$Q21&lt;Basisbedragen!$C$28,ROUND(ROUND(('Loonschijven_Tranches salariale'!$Q21*0.6),4)*$Y$1,2),ROUND(ROUND((Basisbedragen!$C$28*0.6),4)*$Y$1,2)))</f>
        <v>65.97</v>
      </c>
      <c r="J22" s="59">
        <f>IF(ROUND(ROUND(('Loonschijven_Tranches salariale'!$Q21*0.6),4)*$Y$1,2)&lt;J$8,J$8,IF('Loonschijven_Tranches salariale'!$Q21&lt;Basisbedragen!$C$28,ROUND(ROUND(('Loonschijven_Tranches salariale'!$Q21*0.6),4)*$Y$1,2),ROUND(ROUND((Basisbedragen!$C$28*0.6),4)*$Y$1,2)))</f>
        <v>53.47</v>
      </c>
      <c r="K22" s="505">
        <f>IF(ROUND(ROUND(('Loonschijven_Tranches salariale'!$Q21*0.6),4)*$Y$1,2)&lt;K$8,K$8,IF('Loonschijven_Tranches salariale'!$Q21&lt;Basisbedragen!$C$28,ROUND(ROUND(('Loonschijven_Tranches salariale'!$Q21*0.6),4)*$Y$1,2),ROUND(ROUND((Basisbedragen!$C$28*0.6),4)*$Y$1,2)))</f>
        <v>47.51</v>
      </c>
      <c r="L22" s="519"/>
      <c r="M22" s="59">
        <f>IF(ROUND(ROUND(('Loonschijven_Tranches salariale'!$Q21*0.6),4)*$Y$1,2)&lt;M$8,M$8,IF('Loonschijven_Tranches salariale'!$Q21&lt;Basisbedragen!$C$24,ROUND(ROUND(('Loonschijven_Tranches salariale'!$Q21*0.6),4)*$Y$1,2),ROUND(ROUND((Basisbedragen!$C$24*0.6),4)*$Y$1,2)))</f>
        <v>71.099999999999994</v>
      </c>
      <c r="N22" s="59">
        <f>IF(ROUND(ROUND(('Loonschijven_Tranches salariale'!$Q21*0.6),4)*$Y$1,2)&lt;N$8,N$8,IF('Loonschijven_Tranches salariale'!$Q21&lt;Basisbedragen!$C$24,ROUND(ROUND(('Loonschijven_Tranches salariale'!$Q21*0.6),4)*$Y$1,2),ROUND(ROUND((Basisbedragen!$C$24*0.6),4)*$Y$1,2)))</f>
        <v>62.64</v>
      </c>
      <c r="P22" s="59">
        <f t="shared" si="3"/>
        <v>40.94</v>
      </c>
      <c r="Q22" s="59">
        <f t="shared" si="4"/>
        <v>34.119999999999997</v>
      </c>
      <c r="S22" s="59">
        <f>'TW-CT_JS'!N21</f>
        <v>31.11</v>
      </c>
      <c r="T22" s="59">
        <f t="shared" si="5"/>
        <v>31.11</v>
      </c>
      <c r="U22" s="59">
        <f t="shared" si="6"/>
        <v>31.11</v>
      </c>
      <c r="W22" s="59">
        <f t="shared" si="7"/>
        <v>32.99</v>
      </c>
      <c r="X22" s="59">
        <f t="shared" si="8"/>
        <v>26.74</v>
      </c>
      <c r="Y22" s="59">
        <f t="shared" si="9"/>
        <v>23.76</v>
      </c>
      <c r="Z22" s="519"/>
      <c r="AA22" s="59">
        <f t="shared" si="10"/>
        <v>35.549999999999997</v>
      </c>
      <c r="AB22" s="59">
        <f t="shared" si="10"/>
        <v>31.32</v>
      </c>
    </row>
    <row r="23" spans="1:28" ht="15" outlineLevel="1" thickBot="1">
      <c r="A23" s="54">
        <f t="shared" si="11"/>
        <v>15</v>
      </c>
      <c r="B23" s="59">
        <f>ROUND(A!$D23*1.2,2)</f>
        <v>81.88</v>
      </c>
      <c r="C23" s="59">
        <f>A!$D23</f>
        <v>68.23</v>
      </c>
      <c r="E23" s="59">
        <f>'TW-CT_JS'!D22</f>
        <v>62.22</v>
      </c>
      <c r="F23" s="59">
        <f t="shared" si="1"/>
        <v>62.22</v>
      </c>
      <c r="G23" s="59">
        <f t="shared" si="2"/>
        <v>62.22</v>
      </c>
      <c r="I23" s="59">
        <f>IF(ROUND(ROUND(('Loonschijven_Tranches salariale'!$Q22*0.6),4)*$Y$1,2)&lt;I$8,I$8,IF('Loonschijven_Tranches salariale'!$Q22&lt;Basisbedragen!$C$28,ROUND(ROUND(('Loonschijven_Tranches salariale'!$Q22*0.6),4)*$Y$1,2),ROUND(ROUND((Basisbedragen!$C$28*0.6),4)*$Y$1,2)))</f>
        <v>65.97</v>
      </c>
      <c r="J23" s="59">
        <f>IF(ROUND(ROUND(('Loonschijven_Tranches salariale'!$Q22*0.6),4)*$Y$1,2)&lt;J$8,J$8,IF('Loonschijven_Tranches salariale'!$Q22&lt;Basisbedragen!$C$28,ROUND(ROUND(('Loonschijven_Tranches salariale'!$Q22*0.6),4)*$Y$1,2),ROUND(ROUND((Basisbedragen!$C$28*0.6),4)*$Y$1,2)))</f>
        <v>53.47</v>
      </c>
      <c r="K23" s="59">
        <f>IF(ROUND(ROUND(('Loonschijven_Tranches salariale'!$Q22*0.6),4)*$Y$1,2)&lt;K$8,K$8,IF('Loonschijven_Tranches salariale'!$Q22&lt;Basisbedragen!$C$28,ROUND(ROUND(('Loonschijven_Tranches salariale'!$Q22*0.6),4)*$Y$1,2),ROUND(ROUND((Basisbedragen!$C$28*0.6),4)*$Y$1,2)))</f>
        <v>47.51</v>
      </c>
      <c r="L23"/>
      <c r="M23" s="59">
        <f>IF(ROUND(ROUND(('Loonschijven_Tranches salariale'!$Q22*0.6),4)*$Y$1,2)&lt;M$8,M$8,IF('Loonschijven_Tranches salariale'!$Q22&lt;Basisbedragen!$C$24,ROUND(ROUND(('Loonschijven_Tranches salariale'!$Q22*0.6),4)*$Y$1,2),ROUND(ROUND((Basisbedragen!$C$24*0.6),4)*$Y$1,2)))</f>
        <v>71.099999999999994</v>
      </c>
      <c r="N23" s="59">
        <f>IF(ROUND(ROUND(('Loonschijven_Tranches salariale'!$Q22*0.6),4)*$Y$1,2)&lt;N$8,N$8,IF('Loonschijven_Tranches salariale'!$Q22&lt;Basisbedragen!$C$24,ROUND(ROUND(('Loonschijven_Tranches salariale'!$Q22*0.6),4)*$Y$1,2),ROUND(ROUND((Basisbedragen!$C$24*0.6),4)*$Y$1,2)))</f>
        <v>62.64</v>
      </c>
      <c r="P23" s="59">
        <f t="shared" si="3"/>
        <v>40.94</v>
      </c>
      <c r="Q23" s="59">
        <f t="shared" si="4"/>
        <v>34.119999999999997</v>
      </c>
      <c r="S23" s="59">
        <f>'TW-CT_JS'!N22</f>
        <v>31.11</v>
      </c>
      <c r="T23" s="59">
        <f t="shared" si="5"/>
        <v>31.11</v>
      </c>
      <c r="U23" s="59">
        <f t="shared" si="6"/>
        <v>31.11</v>
      </c>
      <c r="W23" s="59">
        <f t="shared" si="7"/>
        <v>32.99</v>
      </c>
      <c r="X23" s="59">
        <f t="shared" si="8"/>
        <v>26.74</v>
      </c>
      <c r="Y23" s="59">
        <f t="shared" si="9"/>
        <v>23.76</v>
      </c>
      <c r="Z23"/>
      <c r="AA23" s="59">
        <f t="shared" si="10"/>
        <v>35.549999999999997</v>
      </c>
      <c r="AB23" s="59">
        <f t="shared" si="10"/>
        <v>31.32</v>
      </c>
    </row>
    <row r="24" spans="1:28" ht="15" outlineLevel="1" thickBot="1">
      <c r="A24" s="54">
        <f t="shared" si="11"/>
        <v>16</v>
      </c>
      <c r="B24" s="59">
        <f>ROUND(A!$D24*1.2,2)</f>
        <v>81.88</v>
      </c>
      <c r="C24" s="59">
        <f>A!$D24</f>
        <v>68.23</v>
      </c>
      <c r="E24" s="59">
        <f>'TW-CT_JS'!D23</f>
        <v>62.22</v>
      </c>
      <c r="F24" s="59">
        <f t="shared" si="1"/>
        <v>62.22</v>
      </c>
      <c r="G24" s="59">
        <f t="shared" si="2"/>
        <v>62.22</v>
      </c>
      <c r="I24" s="59">
        <f>IF(ROUND(ROUND(('Loonschijven_Tranches salariale'!$Q23*0.6),4)*$Y$1,2)&lt;I$8,I$8,IF('Loonschijven_Tranches salariale'!$Q23&lt;Basisbedragen!$C$28,ROUND(ROUND(('Loonschijven_Tranches salariale'!$Q23*0.6),4)*$Y$1,2),ROUND(ROUND((Basisbedragen!$C$28*0.6),4)*$Y$1,2)))</f>
        <v>65.97</v>
      </c>
      <c r="J24" s="59">
        <f>IF(ROUND(ROUND(('Loonschijven_Tranches salariale'!$Q23*0.6),4)*$Y$1,2)&lt;J$8,J$8,IF('Loonschijven_Tranches salariale'!$Q23&lt;Basisbedragen!$C$28,ROUND(ROUND(('Loonschijven_Tranches salariale'!$Q23*0.6),4)*$Y$1,2),ROUND(ROUND((Basisbedragen!$C$28*0.6),4)*$Y$1,2)))</f>
        <v>53.47</v>
      </c>
      <c r="K24" s="505">
        <f>IF(ROUND(ROUND(('Loonschijven_Tranches salariale'!$Q23*0.6),4)*$Y$1,2)&lt;K$8,K$8,IF('Loonschijven_Tranches salariale'!$Q23&lt;Basisbedragen!$C$28,ROUND(ROUND(('Loonschijven_Tranches salariale'!$Q23*0.6),4)*$Y$1,2),ROUND(ROUND((Basisbedragen!$C$28*0.6),4)*$Y$1,2)))</f>
        <v>47.51</v>
      </c>
      <c r="L24" s="519"/>
      <c r="M24" s="59">
        <f>IF(ROUND(ROUND(('Loonschijven_Tranches salariale'!$Q23*0.6),4)*$Y$1,2)&lt;M$8,M$8,IF('Loonschijven_Tranches salariale'!$Q23&lt;Basisbedragen!$C$24,ROUND(ROUND(('Loonschijven_Tranches salariale'!$Q23*0.6),4)*$Y$1,2),ROUND(ROUND((Basisbedragen!$C$24*0.6),4)*$Y$1,2)))</f>
        <v>71.099999999999994</v>
      </c>
      <c r="N24" s="59">
        <f>IF(ROUND(ROUND(('Loonschijven_Tranches salariale'!$Q23*0.6),4)*$Y$1,2)&lt;N$8,N$8,IF('Loonschijven_Tranches salariale'!$Q23&lt;Basisbedragen!$C$24,ROUND(ROUND(('Loonschijven_Tranches salariale'!$Q23*0.6),4)*$Y$1,2),ROUND(ROUND((Basisbedragen!$C$24*0.6),4)*$Y$1,2)))</f>
        <v>62.64</v>
      </c>
      <c r="P24" s="59">
        <f t="shared" si="3"/>
        <v>40.94</v>
      </c>
      <c r="Q24" s="59">
        <f t="shared" si="4"/>
        <v>34.119999999999997</v>
      </c>
      <c r="S24" s="59">
        <f>'TW-CT_JS'!N23</f>
        <v>31.11</v>
      </c>
      <c r="T24" s="59">
        <f t="shared" si="5"/>
        <v>31.11</v>
      </c>
      <c r="U24" s="59">
        <f t="shared" si="6"/>
        <v>31.11</v>
      </c>
      <c r="W24" s="59">
        <f t="shared" si="7"/>
        <v>32.99</v>
      </c>
      <c r="X24" s="59">
        <f t="shared" si="8"/>
        <v>26.74</v>
      </c>
      <c r="Y24" s="59">
        <f t="shared" si="9"/>
        <v>23.76</v>
      </c>
      <c r="Z24" s="519"/>
      <c r="AA24" s="59">
        <f t="shared" si="10"/>
        <v>35.549999999999997</v>
      </c>
      <c r="AB24" s="59">
        <f t="shared" si="10"/>
        <v>31.32</v>
      </c>
    </row>
    <row r="25" spans="1:28" ht="15" outlineLevel="1" thickBot="1">
      <c r="A25" s="54">
        <f t="shared" si="11"/>
        <v>17</v>
      </c>
      <c r="B25" s="59">
        <f>ROUND(A!$D25*1.2,2)</f>
        <v>81.88</v>
      </c>
      <c r="C25" s="59">
        <f>A!$D25</f>
        <v>68.23</v>
      </c>
      <c r="E25" s="59">
        <f>'TW-CT_JS'!D24</f>
        <v>62.22</v>
      </c>
      <c r="F25" s="59">
        <f t="shared" si="1"/>
        <v>62.22</v>
      </c>
      <c r="G25" s="59">
        <f t="shared" si="2"/>
        <v>62.22</v>
      </c>
      <c r="I25" s="59">
        <f>IF(ROUND(ROUND(('Loonschijven_Tranches salariale'!$Q24*0.6),4)*$Y$1,2)&lt;I$8,I$8,IF('Loonschijven_Tranches salariale'!$Q24&lt;Basisbedragen!$C$28,ROUND(ROUND(('Loonschijven_Tranches salariale'!$Q24*0.6),4)*$Y$1,2),ROUND(ROUND((Basisbedragen!$C$28*0.6),4)*$Y$1,2)))</f>
        <v>65.97</v>
      </c>
      <c r="J25" s="59">
        <f>IF(ROUND(ROUND(('Loonschijven_Tranches salariale'!$Q24*0.6),4)*$Y$1,2)&lt;J$8,J$8,IF('Loonschijven_Tranches salariale'!$Q24&lt;Basisbedragen!$C$28,ROUND(ROUND(('Loonschijven_Tranches salariale'!$Q24*0.6),4)*$Y$1,2),ROUND(ROUND((Basisbedragen!$C$28*0.6),4)*$Y$1,2)))</f>
        <v>53.47</v>
      </c>
      <c r="K25" s="505">
        <f>IF(ROUND(ROUND(('Loonschijven_Tranches salariale'!$Q24*0.6),4)*$Y$1,2)&lt;K$8,K$8,IF('Loonschijven_Tranches salariale'!$Q24&lt;Basisbedragen!$C$28,ROUND(ROUND(('Loonschijven_Tranches salariale'!$Q24*0.6),4)*$Y$1,2),ROUND(ROUND((Basisbedragen!$C$28*0.6),4)*$Y$1,2)))</f>
        <v>47.51</v>
      </c>
      <c r="L25" s="519"/>
      <c r="M25" s="59">
        <f>IF(ROUND(ROUND(('Loonschijven_Tranches salariale'!$Q24*0.6),4)*$Y$1,2)&lt;M$8,M$8,IF('Loonschijven_Tranches salariale'!$Q24&lt;Basisbedragen!$C$24,ROUND(ROUND(('Loonschijven_Tranches salariale'!$Q24*0.6),4)*$Y$1,2),ROUND(ROUND((Basisbedragen!$C$24*0.6),4)*$Y$1,2)))</f>
        <v>71.099999999999994</v>
      </c>
      <c r="N25" s="59">
        <f>IF(ROUND(ROUND(('Loonschijven_Tranches salariale'!$Q24*0.6),4)*$Y$1,2)&lt;N$8,N$8,IF('Loonschijven_Tranches salariale'!$Q24&lt;Basisbedragen!$C$24,ROUND(ROUND(('Loonschijven_Tranches salariale'!$Q24*0.6),4)*$Y$1,2),ROUND(ROUND((Basisbedragen!$C$24*0.6),4)*$Y$1,2)))</f>
        <v>62.64</v>
      </c>
      <c r="P25" s="59">
        <f t="shared" si="3"/>
        <v>40.94</v>
      </c>
      <c r="Q25" s="59">
        <f t="shared" si="4"/>
        <v>34.119999999999997</v>
      </c>
      <c r="S25" s="59">
        <f>'TW-CT_JS'!N24</f>
        <v>31.11</v>
      </c>
      <c r="T25" s="59">
        <f t="shared" si="5"/>
        <v>31.11</v>
      </c>
      <c r="U25" s="59">
        <f t="shared" si="6"/>
        <v>31.11</v>
      </c>
      <c r="W25" s="59">
        <f t="shared" si="7"/>
        <v>32.99</v>
      </c>
      <c r="X25" s="59">
        <f t="shared" si="8"/>
        <v>26.74</v>
      </c>
      <c r="Y25" s="59">
        <f t="shared" si="9"/>
        <v>23.76</v>
      </c>
      <c r="Z25" s="519"/>
      <c r="AA25" s="59">
        <f t="shared" si="10"/>
        <v>35.549999999999997</v>
      </c>
      <c r="AB25" s="59">
        <f t="shared" si="10"/>
        <v>31.32</v>
      </c>
    </row>
    <row r="26" spans="1:28" ht="15" outlineLevel="1" thickBot="1">
      <c r="A26" s="54">
        <f t="shared" si="11"/>
        <v>18</v>
      </c>
      <c r="B26" s="59">
        <f>ROUND(A!$D26*1.2,2)</f>
        <v>81.88</v>
      </c>
      <c r="C26" s="59">
        <f>A!$D26</f>
        <v>68.23</v>
      </c>
      <c r="E26" s="59">
        <f>'TW-CT_JS'!D25</f>
        <v>62.22</v>
      </c>
      <c r="F26" s="59">
        <f t="shared" si="1"/>
        <v>62.22</v>
      </c>
      <c r="G26" s="59">
        <f t="shared" si="2"/>
        <v>62.22</v>
      </c>
      <c r="I26" s="59">
        <f>IF(ROUND(ROUND(('Loonschijven_Tranches salariale'!$Q25*0.6),4)*$Y$1,2)&lt;I$8,I$8,IF('Loonschijven_Tranches salariale'!$Q25&lt;Basisbedragen!$C$28,ROUND(ROUND(('Loonschijven_Tranches salariale'!$Q25*0.6),4)*$Y$1,2),ROUND(ROUND((Basisbedragen!$C$28*0.6),4)*$Y$1,2)))</f>
        <v>65.97</v>
      </c>
      <c r="J26" s="59">
        <f>IF(ROUND(ROUND(('Loonschijven_Tranches salariale'!$Q25*0.6),4)*$Y$1,2)&lt;J$8,J$8,IF('Loonschijven_Tranches salariale'!$Q25&lt;Basisbedragen!$C$28,ROUND(ROUND(('Loonschijven_Tranches salariale'!$Q25*0.6),4)*$Y$1,2),ROUND(ROUND((Basisbedragen!$C$28*0.6),4)*$Y$1,2)))</f>
        <v>53.47</v>
      </c>
      <c r="K26" s="505">
        <f>IF(ROUND(ROUND(('Loonschijven_Tranches salariale'!$Q25*0.6),4)*$Y$1,2)&lt;K$8,K$8,IF('Loonschijven_Tranches salariale'!$Q25&lt;Basisbedragen!$C$28,ROUND(ROUND(('Loonschijven_Tranches salariale'!$Q25*0.6),4)*$Y$1,2),ROUND(ROUND((Basisbedragen!$C$28*0.6),4)*$Y$1,2)))</f>
        <v>47.51</v>
      </c>
      <c r="L26" s="519"/>
      <c r="M26" s="59">
        <f>IF(ROUND(ROUND(('Loonschijven_Tranches salariale'!$Q25*0.6),4)*$Y$1,2)&lt;M$8,M$8,IF('Loonschijven_Tranches salariale'!$Q25&lt;Basisbedragen!$C$24,ROUND(ROUND(('Loonschijven_Tranches salariale'!$Q25*0.6),4)*$Y$1,2),ROUND(ROUND((Basisbedragen!$C$24*0.6),4)*$Y$1,2)))</f>
        <v>71.099999999999994</v>
      </c>
      <c r="N26" s="59">
        <f>IF(ROUND(ROUND(('Loonschijven_Tranches salariale'!$Q25*0.6),4)*$Y$1,2)&lt;N$8,N$8,IF('Loonschijven_Tranches salariale'!$Q25&lt;Basisbedragen!$C$24,ROUND(ROUND(('Loonschijven_Tranches salariale'!$Q25*0.6),4)*$Y$1,2),ROUND(ROUND((Basisbedragen!$C$24*0.6),4)*$Y$1,2)))</f>
        <v>62.64</v>
      </c>
      <c r="P26" s="59">
        <f t="shared" si="3"/>
        <v>40.94</v>
      </c>
      <c r="Q26" s="59">
        <f t="shared" si="4"/>
        <v>34.119999999999997</v>
      </c>
      <c r="S26" s="59">
        <f>'TW-CT_JS'!N25</f>
        <v>31.11</v>
      </c>
      <c r="T26" s="59">
        <f t="shared" si="5"/>
        <v>31.11</v>
      </c>
      <c r="U26" s="59">
        <f t="shared" si="6"/>
        <v>31.11</v>
      </c>
      <c r="W26" s="59">
        <f t="shared" si="7"/>
        <v>32.99</v>
      </c>
      <c r="X26" s="59">
        <f t="shared" si="8"/>
        <v>26.74</v>
      </c>
      <c r="Y26" s="59">
        <f t="shared" si="9"/>
        <v>23.76</v>
      </c>
      <c r="Z26" s="519"/>
      <c r="AA26" s="59">
        <f t="shared" si="10"/>
        <v>35.549999999999997</v>
      </c>
      <c r="AB26" s="59">
        <f t="shared" si="10"/>
        <v>31.32</v>
      </c>
    </row>
    <row r="27" spans="1:28" ht="15" outlineLevel="1" thickBot="1">
      <c r="A27" s="54">
        <f t="shared" si="11"/>
        <v>19</v>
      </c>
      <c r="B27" s="59">
        <f>ROUND(A!$D27*1.2,2)</f>
        <v>81.88</v>
      </c>
      <c r="C27" s="59">
        <f>A!$D27</f>
        <v>68.23</v>
      </c>
      <c r="E27" s="59">
        <f>'TW-CT_JS'!D26</f>
        <v>62.22</v>
      </c>
      <c r="F27" s="59">
        <f t="shared" si="1"/>
        <v>62.22</v>
      </c>
      <c r="G27" s="59">
        <f t="shared" si="2"/>
        <v>62.22</v>
      </c>
      <c r="I27" s="59">
        <f>IF(ROUND(ROUND(('Loonschijven_Tranches salariale'!$Q26*0.6),4)*$Y$1,2)&lt;I$8,I$8,IF('Loonschijven_Tranches salariale'!$Q26&lt;Basisbedragen!$C$28,ROUND(ROUND(('Loonschijven_Tranches salariale'!$Q26*0.6),4)*$Y$1,2),ROUND(ROUND((Basisbedragen!$C$28*0.6),4)*$Y$1,2)))</f>
        <v>65.97</v>
      </c>
      <c r="J27" s="59">
        <f>IF(ROUND(ROUND(('Loonschijven_Tranches salariale'!$Q26*0.6),4)*$Y$1,2)&lt;J$8,J$8,IF('Loonschijven_Tranches salariale'!$Q26&lt;Basisbedragen!$C$28,ROUND(ROUND(('Loonschijven_Tranches salariale'!$Q26*0.6),4)*$Y$1,2),ROUND(ROUND((Basisbedragen!$C$28*0.6),4)*$Y$1,2)))</f>
        <v>53.47</v>
      </c>
      <c r="K27" s="505">
        <f>IF(ROUND(ROUND(('Loonschijven_Tranches salariale'!$Q26*0.6),4)*$Y$1,2)&lt;K$8,K$8,IF('Loonschijven_Tranches salariale'!$Q26&lt;Basisbedragen!$C$28,ROUND(ROUND(('Loonschijven_Tranches salariale'!$Q26*0.6),4)*$Y$1,2),ROUND(ROUND((Basisbedragen!$C$28*0.6),4)*$Y$1,2)))</f>
        <v>47.51</v>
      </c>
      <c r="L27" s="519"/>
      <c r="M27" s="59">
        <f>IF(ROUND(ROUND(('Loonschijven_Tranches salariale'!$Q26*0.6),4)*$Y$1,2)&lt;M$8,M$8,IF('Loonschijven_Tranches salariale'!$Q26&lt;Basisbedragen!$C$24,ROUND(ROUND(('Loonschijven_Tranches salariale'!$Q26*0.6),4)*$Y$1,2),ROUND(ROUND((Basisbedragen!$C$24*0.6),4)*$Y$1,2)))</f>
        <v>71.099999999999994</v>
      </c>
      <c r="N27" s="59">
        <f>IF(ROUND(ROUND(('Loonschijven_Tranches salariale'!$Q26*0.6),4)*$Y$1,2)&lt;N$8,N$8,IF('Loonschijven_Tranches salariale'!$Q26&lt;Basisbedragen!$C$24,ROUND(ROUND(('Loonschijven_Tranches salariale'!$Q26*0.6),4)*$Y$1,2),ROUND(ROUND((Basisbedragen!$C$24*0.6),4)*$Y$1,2)))</f>
        <v>62.64</v>
      </c>
      <c r="P27" s="59">
        <f t="shared" si="3"/>
        <v>40.94</v>
      </c>
      <c r="Q27" s="59">
        <f t="shared" si="4"/>
        <v>34.119999999999997</v>
      </c>
      <c r="S27" s="59">
        <f>'TW-CT_JS'!N26</f>
        <v>31.11</v>
      </c>
      <c r="T27" s="59">
        <f t="shared" si="5"/>
        <v>31.11</v>
      </c>
      <c r="U27" s="59">
        <f t="shared" si="6"/>
        <v>31.11</v>
      </c>
      <c r="W27" s="59">
        <f t="shared" si="7"/>
        <v>32.99</v>
      </c>
      <c r="X27" s="59">
        <f t="shared" si="8"/>
        <v>26.74</v>
      </c>
      <c r="Y27" s="59">
        <f t="shared" si="9"/>
        <v>23.76</v>
      </c>
      <c r="Z27" s="519"/>
      <c r="AA27" s="59">
        <f t="shared" si="10"/>
        <v>35.549999999999997</v>
      </c>
      <c r="AB27" s="59">
        <f t="shared" si="10"/>
        <v>31.32</v>
      </c>
    </row>
    <row r="28" spans="1:28" ht="15" outlineLevel="1" thickBot="1">
      <c r="A28" s="54">
        <f t="shared" si="11"/>
        <v>20</v>
      </c>
      <c r="B28" s="59">
        <f>ROUND(A!$D28*1.2,2)</f>
        <v>81.88</v>
      </c>
      <c r="C28" s="59">
        <f>A!$D28</f>
        <v>68.23</v>
      </c>
      <c r="E28" s="59">
        <f>'TW-CT_JS'!D27</f>
        <v>62.22</v>
      </c>
      <c r="F28" s="59">
        <f t="shared" si="1"/>
        <v>62.22</v>
      </c>
      <c r="G28" s="59">
        <f t="shared" si="2"/>
        <v>62.22</v>
      </c>
      <c r="I28" s="59">
        <f>IF(ROUND(ROUND(('Loonschijven_Tranches salariale'!$Q27*0.6),4)*$Y$1,2)&lt;I$8,I$8,IF('Loonschijven_Tranches salariale'!$Q27&lt;Basisbedragen!$C$28,ROUND(ROUND(('Loonschijven_Tranches salariale'!$Q27*0.6),4)*$Y$1,2),ROUND(ROUND((Basisbedragen!$C$28*0.6),4)*$Y$1,2)))</f>
        <v>65.97</v>
      </c>
      <c r="J28" s="59">
        <f>IF(ROUND(ROUND(('Loonschijven_Tranches salariale'!$Q27*0.6),4)*$Y$1,2)&lt;J$8,J$8,IF('Loonschijven_Tranches salariale'!$Q27&lt;Basisbedragen!$C$28,ROUND(ROUND(('Loonschijven_Tranches salariale'!$Q27*0.6),4)*$Y$1,2),ROUND(ROUND((Basisbedragen!$C$28*0.6),4)*$Y$1,2)))</f>
        <v>53.47</v>
      </c>
      <c r="K28" s="59">
        <f>IF(ROUND(ROUND(('Loonschijven_Tranches salariale'!$Q27*0.6),4)*$Y$1,2)&lt;K$8,K$8,IF('Loonschijven_Tranches salariale'!$Q27&lt;Basisbedragen!$C$28,ROUND(ROUND(('Loonschijven_Tranches salariale'!$Q27*0.6),4)*$Y$1,2),ROUND(ROUND((Basisbedragen!$C$28*0.6),4)*$Y$1,2)))</f>
        <v>47.51</v>
      </c>
      <c r="L28"/>
      <c r="M28" s="59">
        <f>IF(ROUND(ROUND(('Loonschijven_Tranches salariale'!$Q27*0.6),4)*$Y$1,2)&lt;M$8,M$8,IF('Loonschijven_Tranches salariale'!$Q27&lt;Basisbedragen!$C$24,ROUND(ROUND(('Loonschijven_Tranches salariale'!$Q27*0.6),4)*$Y$1,2),ROUND(ROUND((Basisbedragen!$C$24*0.6),4)*$Y$1,2)))</f>
        <v>71.099999999999994</v>
      </c>
      <c r="N28" s="59">
        <f>IF(ROUND(ROUND(('Loonschijven_Tranches salariale'!$Q27*0.6),4)*$Y$1,2)&lt;N$8,N$8,IF('Loonschijven_Tranches salariale'!$Q27&lt;Basisbedragen!$C$24,ROUND(ROUND(('Loonschijven_Tranches salariale'!$Q27*0.6),4)*$Y$1,2),ROUND(ROUND((Basisbedragen!$C$24*0.6),4)*$Y$1,2)))</f>
        <v>62.64</v>
      </c>
      <c r="P28" s="59">
        <f t="shared" si="3"/>
        <v>40.94</v>
      </c>
      <c r="Q28" s="59">
        <f t="shared" si="4"/>
        <v>34.119999999999997</v>
      </c>
      <c r="S28" s="59">
        <f>'TW-CT_JS'!N27</f>
        <v>31.11</v>
      </c>
      <c r="T28" s="59">
        <f t="shared" si="5"/>
        <v>31.11</v>
      </c>
      <c r="U28" s="59">
        <f t="shared" si="6"/>
        <v>31.11</v>
      </c>
      <c r="W28" s="59">
        <f t="shared" si="7"/>
        <v>32.99</v>
      </c>
      <c r="X28" s="59">
        <f t="shared" si="8"/>
        <v>26.74</v>
      </c>
      <c r="Y28" s="59">
        <f t="shared" si="9"/>
        <v>23.76</v>
      </c>
      <c r="Z28"/>
      <c r="AA28" s="59">
        <f t="shared" si="10"/>
        <v>35.549999999999997</v>
      </c>
      <c r="AB28" s="59">
        <f t="shared" si="10"/>
        <v>31.32</v>
      </c>
    </row>
    <row r="29" spans="1:28" ht="15" outlineLevel="1" thickBot="1">
      <c r="A29" s="54">
        <f t="shared" si="11"/>
        <v>21</v>
      </c>
      <c r="B29" s="59">
        <f>ROUND(A!$D29*1.2,2)</f>
        <v>81.88</v>
      </c>
      <c r="C29" s="59">
        <f>A!$D29</f>
        <v>68.23</v>
      </c>
      <c r="E29" s="59">
        <f>'TW-CT_JS'!D28</f>
        <v>62.22</v>
      </c>
      <c r="F29" s="59">
        <f t="shared" si="1"/>
        <v>62.22</v>
      </c>
      <c r="G29" s="59">
        <f t="shared" si="2"/>
        <v>62.22</v>
      </c>
      <c r="I29" s="59">
        <f>IF(ROUND(ROUND(('Loonschijven_Tranches salariale'!$Q28*0.6),4)*$Y$1,2)&lt;I$8,I$8,IF('Loonschijven_Tranches salariale'!$Q28&lt;Basisbedragen!$C$28,ROUND(ROUND(('Loonschijven_Tranches salariale'!$Q28*0.6),4)*$Y$1,2),ROUND(ROUND((Basisbedragen!$C$28*0.6),4)*$Y$1,2)))</f>
        <v>65.97</v>
      </c>
      <c r="J29" s="59">
        <f>IF(ROUND(ROUND(('Loonschijven_Tranches salariale'!$Q28*0.6),4)*$Y$1,2)&lt;J$8,J$8,IF('Loonschijven_Tranches salariale'!$Q28&lt;Basisbedragen!$C$28,ROUND(ROUND(('Loonschijven_Tranches salariale'!$Q28*0.6),4)*$Y$1,2),ROUND(ROUND((Basisbedragen!$C$28*0.6),4)*$Y$1,2)))</f>
        <v>53.47</v>
      </c>
      <c r="K29" s="505">
        <f>IF(ROUND(ROUND(('Loonschijven_Tranches salariale'!$Q28*0.6),4)*$Y$1,2)&lt;K$8,K$8,IF('Loonschijven_Tranches salariale'!$Q28&lt;Basisbedragen!$C$28,ROUND(ROUND(('Loonschijven_Tranches salariale'!$Q28*0.6),4)*$Y$1,2),ROUND(ROUND((Basisbedragen!$C$28*0.6),4)*$Y$1,2)))</f>
        <v>47.51</v>
      </c>
      <c r="L29" s="519"/>
      <c r="M29" s="59">
        <f>IF(ROUND(ROUND(('Loonschijven_Tranches salariale'!$Q28*0.6),4)*$Y$1,2)&lt;M$8,M$8,IF('Loonschijven_Tranches salariale'!$Q28&lt;Basisbedragen!$C$24,ROUND(ROUND(('Loonschijven_Tranches salariale'!$Q28*0.6),4)*$Y$1,2),ROUND(ROUND((Basisbedragen!$C$24*0.6),4)*$Y$1,2)))</f>
        <v>71.099999999999994</v>
      </c>
      <c r="N29" s="59">
        <f>IF(ROUND(ROUND(('Loonschijven_Tranches salariale'!$Q28*0.6),4)*$Y$1,2)&lt;N$8,N$8,IF('Loonschijven_Tranches salariale'!$Q28&lt;Basisbedragen!$C$24,ROUND(ROUND(('Loonschijven_Tranches salariale'!$Q28*0.6),4)*$Y$1,2),ROUND(ROUND((Basisbedragen!$C$24*0.6),4)*$Y$1,2)))</f>
        <v>62.64</v>
      </c>
      <c r="P29" s="59">
        <f t="shared" si="3"/>
        <v>40.94</v>
      </c>
      <c r="Q29" s="59">
        <f t="shared" si="4"/>
        <v>34.119999999999997</v>
      </c>
      <c r="S29" s="59">
        <f>'TW-CT_JS'!N28</f>
        <v>31.11</v>
      </c>
      <c r="T29" s="59">
        <f t="shared" si="5"/>
        <v>31.11</v>
      </c>
      <c r="U29" s="59">
        <f t="shared" si="6"/>
        <v>31.11</v>
      </c>
      <c r="W29" s="59">
        <f t="shared" si="7"/>
        <v>32.99</v>
      </c>
      <c r="X29" s="59">
        <f t="shared" si="8"/>
        <v>26.74</v>
      </c>
      <c r="Y29" s="59">
        <f t="shared" si="9"/>
        <v>23.76</v>
      </c>
      <c r="Z29" s="519"/>
      <c r="AA29" s="59">
        <f t="shared" si="10"/>
        <v>35.549999999999997</v>
      </c>
      <c r="AB29" s="59">
        <f t="shared" si="10"/>
        <v>31.32</v>
      </c>
    </row>
    <row r="30" spans="1:28" ht="15" outlineLevel="1" thickBot="1">
      <c r="A30" s="54">
        <f t="shared" si="11"/>
        <v>22</v>
      </c>
      <c r="B30" s="59">
        <f>ROUND(A!$D30*1.2,2)</f>
        <v>81.88</v>
      </c>
      <c r="C30" s="59">
        <f>A!$D30</f>
        <v>68.23</v>
      </c>
      <c r="E30" s="59">
        <f>'TW-CT_JS'!D29</f>
        <v>62.22</v>
      </c>
      <c r="F30" s="59">
        <f t="shared" si="1"/>
        <v>62.22</v>
      </c>
      <c r="G30" s="59">
        <f t="shared" si="2"/>
        <v>62.22</v>
      </c>
      <c r="I30" s="59">
        <f>IF(ROUND(ROUND(('Loonschijven_Tranches salariale'!$Q29*0.6),4)*$Y$1,2)&lt;I$8,I$8,IF('Loonschijven_Tranches salariale'!$Q29&lt;Basisbedragen!$C$28,ROUND(ROUND(('Loonschijven_Tranches salariale'!$Q29*0.6),4)*$Y$1,2),ROUND(ROUND((Basisbedragen!$C$28*0.6),4)*$Y$1,2)))</f>
        <v>65.97</v>
      </c>
      <c r="J30" s="59">
        <f>IF(ROUND(ROUND(('Loonschijven_Tranches salariale'!$Q29*0.6),4)*$Y$1,2)&lt;J$8,J$8,IF('Loonschijven_Tranches salariale'!$Q29&lt;Basisbedragen!$C$28,ROUND(ROUND(('Loonschijven_Tranches salariale'!$Q29*0.6),4)*$Y$1,2),ROUND(ROUND((Basisbedragen!$C$28*0.6),4)*$Y$1,2)))</f>
        <v>53.47</v>
      </c>
      <c r="K30" s="505">
        <f>IF(ROUND(ROUND(('Loonschijven_Tranches salariale'!$Q29*0.6),4)*$Y$1,2)&lt;K$8,K$8,IF('Loonschijven_Tranches salariale'!$Q29&lt;Basisbedragen!$C$28,ROUND(ROUND(('Loonschijven_Tranches salariale'!$Q29*0.6),4)*$Y$1,2),ROUND(ROUND((Basisbedragen!$C$28*0.6),4)*$Y$1,2)))</f>
        <v>47.51</v>
      </c>
      <c r="L30" s="519"/>
      <c r="M30" s="59">
        <f>IF(ROUND(ROUND(('Loonschijven_Tranches salariale'!$Q29*0.6),4)*$Y$1,2)&lt;M$8,M$8,IF('Loonschijven_Tranches salariale'!$Q29&lt;Basisbedragen!$C$24,ROUND(ROUND(('Loonschijven_Tranches salariale'!$Q29*0.6),4)*$Y$1,2),ROUND(ROUND((Basisbedragen!$C$24*0.6),4)*$Y$1,2)))</f>
        <v>71.099999999999994</v>
      </c>
      <c r="N30" s="59">
        <f>IF(ROUND(ROUND(('Loonschijven_Tranches salariale'!$Q29*0.6),4)*$Y$1,2)&lt;N$8,N$8,IF('Loonschijven_Tranches salariale'!$Q29&lt;Basisbedragen!$C$24,ROUND(ROUND(('Loonschijven_Tranches salariale'!$Q29*0.6),4)*$Y$1,2),ROUND(ROUND((Basisbedragen!$C$24*0.6),4)*$Y$1,2)))</f>
        <v>62.64</v>
      </c>
      <c r="P30" s="59">
        <f t="shared" si="3"/>
        <v>40.94</v>
      </c>
      <c r="Q30" s="59">
        <f t="shared" si="4"/>
        <v>34.119999999999997</v>
      </c>
      <c r="S30" s="59">
        <f>'TW-CT_JS'!N29</f>
        <v>31.11</v>
      </c>
      <c r="T30" s="59">
        <f t="shared" si="5"/>
        <v>31.11</v>
      </c>
      <c r="U30" s="59">
        <f t="shared" si="6"/>
        <v>31.11</v>
      </c>
      <c r="W30" s="59">
        <f t="shared" si="7"/>
        <v>32.99</v>
      </c>
      <c r="X30" s="59">
        <f t="shared" si="8"/>
        <v>26.74</v>
      </c>
      <c r="Y30" s="59">
        <f t="shared" si="9"/>
        <v>23.76</v>
      </c>
      <c r="Z30" s="519"/>
      <c r="AA30" s="59">
        <f t="shared" si="10"/>
        <v>35.549999999999997</v>
      </c>
      <c r="AB30" s="59">
        <f t="shared" si="10"/>
        <v>31.32</v>
      </c>
    </row>
    <row r="31" spans="1:28" ht="15" outlineLevel="1" thickBot="1">
      <c r="A31" s="54">
        <f t="shared" si="11"/>
        <v>23</v>
      </c>
      <c r="B31" s="59">
        <f>ROUND(A!$D31*1.2,2)</f>
        <v>81.88</v>
      </c>
      <c r="C31" s="59">
        <f>A!$D31</f>
        <v>68.23</v>
      </c>
      <c r="E31" s="59">
        <f>'TW-CT_JS'!D30</f>
        <v>62.22</v>
      </c>
      <c r="F31" s="59">
        <f t="shared" si="1"/>
        <v>62.22</v>
      </c>
      <c r="G31" s="59">
        <f t="shared" si="2"/>
        <v>62.22</v>
      </c>
      <c r="I31" s="59">
        <f>IF(ROUND(ROUND(('Loonschijven_Tranches salariale'!$Q30*0.6),4)*$Y$1,2)&lt;I$8,I$8,IF('Loonschijven_Tranches salariale'!$Q30&lt;Basisbedragen!$C$28,ROUND(ROUND(('Loonschijven_Tranches salariale'!$Q30*0.6),4)*$Y$1,2),ROUND(ROUND((Basisbedragen!$C$28*0.6),4)*$Y$1,2)))</f>
        <v>65.97</v>
      </c>
      <c r="J31" s="59">
        <f>IF(ROUND(ROUND(('Loonschijven_Tranches salariale'!$Q30*0.6),4)*$Y$1,2)&lt;J$8,J$8,IF('Loonschijven_Tranches salariale'!$Q30&lt;Basisbedragen!$C$28,ROUND(ROUND(('Loonschijven_Tranches salariale'!$Q30*0.6),4)*$Y$1,2),ROUND(ROUND((Basisbedragen!$C$28*0.6),4)*$Y$1,2)))</f>
        <v>53.47</v>
      </c>
      <c r="K31" s="505">
        <f>IF(ROUND(ROUND(('Loonschijven_Tranches salariale'!$Q30*0.6),4)*$Y$1,2)&lt;K$8,K$8,IF('Loonschijven_Tranches salariale'!$Q30&lt;Basisbedragen!$C$28,ROUND(ROUND(('Loonschijven_Tranches salariale'!$Q30*0.6),4)*$Y$1,2),ROUND(ROUND((Basisbedragen!$C$28*0.6),4)*$Y$1,2)))</f>
        <v>47.51</v>
      </c>
      <c r="L31" s="519"/>
      <c r="M31" s="59">
        <f>IF(ROUND(ROUND(('Loonschijven_Tranches salariale'!$Q30*0.6),4)*$Y$1,2)&lt;M$8,M$8,IF('Loonschijven_Tranches salariale'!$Q30&lt;Basisbedragen!$C$24,ROUND(ROUND(('Loonschijven_Tranches salariale'!$Q30*0.6),4)*$Y$1,2),ROUND(ROUND((Basisbedragen!$C$24*0.6),4)*$Y$1,2)))</f>
        <v>71.099999999999994</v>
      </c>
      <c r="N31" s="59">
        <f>IF(ROUND(ROUND(('Loonschijven_Tranches salariale'!$Q30*0.6),4)*$Y$1,2)&lt;N$8,N$8,IF('Loonschijven_Tranches salariale'!$Q30&lt;Basisbedragen!$C$24,ROUND(ROUND(('Loonschijven_Tranches salariale'!$Q30*0.6),4)*$Y$1,2),ROUND(ROUND((Basisbedragen!$C$24*0.6),4)*$Y$1,2)))</f>
        <v>62.64</v>
      </c>
      <c r="P31" s="59">
        <f t="shared" si="3"/>
        <v>40.94</v>
      </c>
      <c r="Q31" s="59">
        <f t="shared" si="4"/>
        <v>34.119999999999997</v>
      </c>
      <c r="S31" s="59">
        <f>'TW-CT_JS'!N30</f>
        <v>31.11</v>
      </c>
      <c r="T31" s="59">
        <f t="shared" si="5"/>
        <v>31.11</v>
      </c>
      <c r="U31" s="59">
        <f t="shared" si="6"/>
        <v>31.11</v>
      </c>
      <c r="W31" s="59">
        <f t="shared" si="7"/>
        <v>32.99</v>
      </c>
      <c r="X31" s="59">
        <f t="shared" si="8"/>
        <v>26.74</v>
      </c>
      <c r="Y31" s="59">
        <f t="shared" si="9"/>
        <v>23.76</v>
      </c>
      <c r="Z31" s="519"/>
      <c r="AA31" s="59">
        <f t="shared" si="10"/>
        <v>35.549999999999997</v>
      </c>
      <c r="AB31" s="59">
        <f t="shared" si="10"/>
        <v>31.32</v>
      </c>
    </row>
    <row r="32" spans="1:28" ht="15" outlineLevel="1" thickBot="1">
      <c r="A32" s="54">
        <f t="shared" si="11"/>
        <v>24</v>
      </c>
      <c r="B32" s="59">
        <f>ROUND(A!$D32*1.2,2)</f>
        <v>81.88</v>
      </c>
      <c r="C32" s="59">
        <f>A!$D32</f>
        <v>68.23</v>
      </c>
      <c r="E32" s="59">
        <f>'TW-CT_JS'!D31</f>
        <v>62.22</v>
      </c>
      <c r="F32" s="59">
        <f t="shared" si="1"/>
        <v>62.22</v>
      </c>
      <c r="G32" s="59">
        <f t="shared" si="2"/>
        <v>62.22</v>
      </c>
      <c r="I32" s="59">
        <f>IF(ROUND(ROUND(('Loonschijven_Tranches salariale'!$Q31*0.6),4)*$Y$1,2)&lt;I$8,I$8,IF('Loonschijven_Tranches salariale'!$Q31&lt;Basisbedragen!$C$28,ROUND(ROUND(('Loonschijven_Tranches salariale'!$Q31*0.6),4)*$Y$1,2),ROUND(ROUND((Basisbedragen!$C$28*0.6),4)*$Y$1,2)))</f>
        <v>65.97</v>
      </c>
      <c r="J32" s="59">
        <f>IF(ROUND(ROUND(('Loonschijven_Tranches salariale'!$Q31*0.6),4)*$Y$1,2)&lt;J$8,J$8,IF('Loonschijven_Tranches salariale'!$Q31&lt;Basisbedragen!$C$28,ROUND(ROUND(('Loonschijven_Tranches salariale'!$Q31*0.6),4)*$Y$1,2),ROUND(ROUND((Basisbedragen!$C$28*0.6),4)*$Y$1,2)))</f>
        <v>53.47</v>
      </c>
      <c r="K32" s="505">
        <f>IF(ROUND(ROUND(('Loonschijven_Tranches salariale'!$Q31*0.6),4)*$Y$1,2)&lt;K$8,K$8,IF('Loonschijven_Tranches salariale'!$Q31&lt;Basisbedragen!$C$28,ROUND(ROUND(('Loonschijven_Tranches salariale'!$Q31*0.6),4)*$Y$1,2),ROUND(ROUND((Basisbedragen!$C$28*0.6),4)*$Y$1,2)))</f>
        <v>47.51</v>
      </c>
      <c r="L32" s="519"/>
      <c r="M32" s="59">
        <f>IF(ROUND(ROUND(('Loonschijven_Tranches salariale'!$Q31*0.6),4)*$Y$1,2)&lt;M$8,M$8,IF('Loonschijven_Tranches salariale'!$Q31&lt;Basisbedragen!$C$24,ROUND(ROUND(('Loonschijven_Tranches salariale'!$Q31*0.6),4)*$Y$1,2),ROUND(ROUND((Basisbedragen!$C$24*0.6),4)*$Y$1,2)))</f>
        <v>71.099999999999994</v>
      </c>
      <c r="N32" s="59">
        <f>IF(ROUND(ROUND(('Loonschijven_Tranches salariale'!$Q31*0.6),4)*$Y$1,2)&lt;N$8,N$8,IF('Loonschijven_Tranches salariale'!$Q31&lt;Basisbedragen!$C$24,ROUND(ROUND(('Loonschijven_Tranches salariale'!$Q31*0.6),4)*$Y$1,2),ROUND(ROUND((Basisbedragen!$C$24*0.6),4)*$Y$1,2)))</f>
        <v>62.64</v>
      </c>
      <c r="P32" s="59">
        <f t="shared" si="3"/>
        <v>40.94</v>
      </c>
      <c r="Q32" s="59">
        <f t="shared" si="4"/>
        <v>34.119999999999997</v>
      </c>
      <c r="S32" s="59">
        <f>'TW-CT_JS'!N31</f>
        <v>31.11</v>
      </c>
      <c r="T32" s="59">
        <f t="shared" si="5"/>
        <v>31.11</v>
      </c>
      <c r="U32" s="59">
        <f t="shared" si="6"/>
        <v>31.11</v>
      </c>
      <c r="W32" s="59">
        <f t="shared" si="7"/>
        <v>32.99</v>
      </c>
      <c r="X32" s="59">
        <f t="shared" si="8"/>
        <v>26.74</v>
      </c>
      <c r="Y32" s="59">
        <f t="shared" si="9"/>
        <v>23.76</v>
      </c>
      <c r="Z32" s="519"/>
      <c r="AA32" s="59">
        <f t="shared" si="10"/>
        <v>35.549999999999997</v>
      </c>
      <c r="AB32" s="59">
        <f t="shared" si="10"/>
        <v>31.32</v>
      </c>
    </row>
    <row r="33" spans="1:28" ht="15" outlineLevel="1" thickBot="1">
      <c r="A33" s="54">
        <f t="shared" si="11"/>
        <v>25</v>
      </c>
      <c r="B33" s="59">
        <f>ROUND(A!$D33*1.2,2)</f>
        <v>81.88</v>
      </c>
      <c r="C33" s="59">
        <f>A!$D33</f>
        <v>68.23</v>
      </c>
      <c r="E33" s="59">
        <f>'TW-CT_JS'!D32</f>
        <v>62.22</v>
      </c>
      <c r="F33" s="59">
        <f t="shared" si="1"/>
        <v>62.22</v>
      </c>
      <c r="G33" s="59">
        <f t="shared" si="2"/>
        <v>62.22</v>
      </c>
      <c r="I33" s="59">
        <f>IF(ROUND(ROUND(('Loonschijven_Tranches salariale'!$Q32*0.6),4)*$Y$1,2)&lt;I$8,I$8,IF('Loonschijven_Tranches salariale'!$Q32&lt;Basisbedragen!$C$28,ROUND(ROUND(('Loonschijven_Tranches salariale'!$Q32*0.6),4)*$Y$1,2),ROUND(ROUND((Basisbedragen!$C$28*0.6),4)*$Y$1,2)))</f>
        <v>65.97</v>
      </c>
      <c r="J33" s="59">
        <f>IF(ROUND(ROUND(('Loonschijven_Tranches salariale'!$Q32*0.6),4)*$Y$1,2)&lt;J$8,J$8,IF('Loonschijven_Tranches salariale'!$Q32&lt;Basisbedragen!$C$28,ROUND(ROUND(('Loonschijven_Tranches salariale'!$Q32*0.6),4)*$Y$1,2),ROUND(ROUND((Basisbedragen!$C$28*0.6),4)*$Y$1,2)))</f>
        <v>53.47</v>
      </c>
      <c r="K33" s="59">
        <f>IF(ROUND(ROUND(('Loonschijven_Tranches salariale'!$Q32*0.6),4)*$Y$1,2)&lt;K$8,K$8,IF('Loonschijven_Tranches salariale'!$Q32&lt;Basisbedragen!$C$28,ROUND(ROUND(('Loonschijven_Tranches salariale'!$Q32*0.6),4)*$Y$1,2),ROUND(ROUND((Basisbedragen!$C$28*0.6),4)*$Y$1,2)))</f>
        <v>47.51</v>
      </c>
      <c r="L33"/>
      <c r="M33" s="59">
        <f>IF(ROUND(ROUND(('Loonschijven_Tranches salariale'!$Q32*0.6),4)*$Y$1,2)&lt;M$8,M$8,IF('Loonschijven_Tranches salariale'!$Q32&lt;Basisbedragen!$C$24,ROUND(ROUND(('Loonschijven_Tranches salariale'!$Q32*0.6),4)*$Y$1,2),ROUND(ROUND((Basisbedragen!$C$24*0.6),4)*$Y$1,2)))</f>
        <v>71.099999999999994</v>
      </c>
      <c r="N33" s="59">
        <f>IF(ROUND(ROUND(('Loonschijven_Tranches salariale'!$Q32*0.6),4)*$Y$1,2)&lt;N$8,N$8,IF('Loonschijven_Tranches salariale'!$Q32&lt;Basisbedragen!$C$24,ROUND(ROUND(('Loonschijven_Tranches salariale'!$Q32*0.6),4)*$Y$1,2),ROUND(ROUND((Basisbedragen!$C$24*0.6),4)*$Y$1,2)))</f>
        <v>62.64</v>
      </c>
      <c r="P33" s="59">
        <f t="shared" si="3"/>
        <v>40.94</v>
      </c>
      <c r="Q33" s="59">
        <f t="shared" si="4"/>
        <v>34.119999999999997</v>
      </c>
      <c r="S33" s="59">
        <f>'TW-CT_JS'!N32</f>
        <v>31.11</v>
      </c>
      <c r="T33" s="59">
        <f t="shared" si="5"/>
        <v>31.11</v>
      </c>
      <c r="U33" s="59">
        <f t="shared" si="6"/>
        <v>31.11</v>
      </c>
      <c r="W33" s="59">
        <f t="shared" si="7"/>
        <v>32.99</v>
      </c>
      <c r="X33" s="59">
        <f t="shared" si="8"/>
        <v>26.74</v>
      </c>
      <c r="Y33" s="59">
        <f t="shared" si="9"/>
        <v>23.76</v>
      </c>
      <c r="Z33"/>
      <c r="AA33" s="59">
        <f t="shared" si="10"/>
        <v>35.549999999999997</v>
      </c>
      <c r="AB33" s="59">
        <f t="shared" si="10"/>
        <v>31.32</v>
      </c>
    </row>
    <row r="34" spans="1:28" ht="15" outlineLevel="1" thickBot="1">
      <c r="A34" s="54">
        <f t="shared" si="11"/>
        <v>26</v>
      </c>
      <c r="B34" s="59">
        <f>ROUND(A!$D34*1.2,2)</f>
        <v>81.88</v>
      </c>
      <c r="C34" s="59">
        <f>A!$D34</f>
        <v>68.23</v>
      </c>
      <c r="E34" s="59">
        <f>'TW-CT_JS'!D33</f>
        <v>62.22</v>
      </c>
      <c r="F34" s="59">
        <f t="shared" si="1"/>
        <v>62.22</v>
      </c>
      <c r="G34" s="59">
        <f t="shared" si="2"/>
        <v>62.22</v>
      </c>
      <c r="I34" s="59">
        <f>IF(ROUND(ROUND(('Loonschijven_Tranches salariale'!$Q33*0.6),4)*$Y$1,2)&lt;I$8,I$8,IF('Loonschijven_Tranches salariale'!$Q33&lt;Basisbedragen!$C$28,ROUND(ROUND(('Loonschijven_Tranches salariale'!$Q33*0.6),4)*$Y$1,2),ROUND(ROUND((Basisbedragen!$C$28*0.6),4)*$Y$1,2)))</f>
        <v>65.97</v>
      </c>
      <c r="J34" s="59">
        <f>IF(ROUND(ROUND(('Loonschijven_Tranches salariale'!$Q33*0.6),4)*$Y$1,2)&lt;J$8,J$8,IF('Loonschijven_Tranches salariale'!$Q33&lt;Basisbedragen!$C$28,ROUND(ROUND(('Loonschijven_Tranches salariale'!$Q33*0.6),4)*$Y$1,2),ROUND(ROUND((Basisbedragen!$C$28*0.6),4)*$Y$1,2)))</f>
        <v>53.47</v>
      </c>
      <c r="K34" s="505">
        <f>IF(ROUND(ROUND(('Loonschijven_Tranches salariale'!$Q33*0.6),4)*$Y$1,2)&lt;K$8,K$8,IF('Loonschijven_Tranches salariale'!$Q33&lt;Basisbedragen!$C$28,ROUND(ROUND(('Loonschijven_Tranches salariale'!$Q33*0.6),4)*$Y$1,2),ROUND(ROUND((Basisbedragen!$C$28*0.6),4)*$Y$1,2)))</f>
        <v>47.51</v>
      </c>
      <c r="L34" s="519"/>
      <c r="M34" s="59">
        <f>IF(ROUND(ROUND(('Loonschijven_Tranches salariale'!$Q33*0.6),4)*$Y$1,2)&lt;M$8,M$8,IF('Loonschijven_Tranches salariale'!$Q33&lt;Basisbedragen!$C$24,ROUND(ROUND(('Loonschijven_Tranches salariale'!$Q33*0.6),4)*$Y$1,2),ROUND(ROUND((Basisbedragen!$C$24*0.6),4)*$Y$1,2)))</f>
        <v>71.099999999999994</v>
      </c>
      <c r="N34" s="59">
        <f>IF(ROUND(ROUND(('Loonschijven_Tranches salariale'!$Q33*0.6),4)*$Y$1,2)&lt;N$8,N$8,IF('Loonschijven_Tranches salariale'!$Q33&lt;Basisbedragen!$C$24,ROUND(ROUND(('Loonschijven_Tranches salariale'!$Q33*0.6),4)*$Y$1,2),ROUND(ROUND((Basisbedragen!$C$24*0.6),4)*$Y$1,2)))</f>
        <v>62.64</v>
      </c>
      <c r="P34" s="59">
        <f t="shared" si="3"/>
        <v>40.94</v>
      </c>
      <c r="Q34" s="59">
        <f t="shared" si="4"/>
        <v>34.119999999999997</v>
      </c>
      <c r="S34" s="59">
        <f>'TW-CT_JS'!N33</f>
        <v>31.11</v>
      </c>
      <c r="T34" s="59">
        <f t="shared" si="5"/>
        <v>31.11</v>
      </c>
      <c r="U34" s="59">
        <f t="shared" si="6"/>
        <v>31.11</v>
      </c>
      <c r="W34" s="59">
        <f t="shared" si="7"/>
        <v>32.99</v>
      </c>
      <c r="X34" s="59">
        <f t="shared" si="8"/>
        <v>26.74</v>
      </c>
      <c r="Y34" s="59">
        <f t="shared" si="9"/>
        <v>23.76</v>
      </c>
      <c r="Z34" s="519"/>
      <c r="AA34" s="59">
        <f t="shared" si="10"/>
        <v>35.549999999999997</v>
      </c>
      <c r="AB34" s="59">
        <f t="shared" si="10"/>
        <v>31.32</v>
      </c>
    </row>
    <row r="35" spans="1:28" ht="15" outlineLevel="1" thickBot="1">
      <c r="A35" s="54">
        <f t="shared" si="11"/>
        <v>27</v>
      </c>
      <c r="B35" s="59">
        <f>ROUND(A!$D35*1.2,2)</f>
        <v>81.88</v>
      </c>
      <c r="C35" s="59">
        <f>A!$D35</f>
        <v>68.23</v>
      </c>
      <c r="E35" s="59">
        <f>'TW-CT_JS'!D34</f>
        <v>62.22</v>
      </c>
      <c r="F35" s="59">
        <f t="shared" si="1"/>
        <v>62.22</v>
      </c>
      <c r="G35" s="59">
        <f t="shared" si="2"/>
        <v>62.22</v>
      </c>
      <c r="I35" s="59">
        <f>IF(ROUND(ROUND(('Loonschijven_Tranches salariale'!$Q34*0.6),4)*$Y$1,2)&lt;I$8,I$8,IF('Loonschijven_Tranches salariale'!$Q34&lt;Basisbedragen!$C$28,ROUND(ROUND(('Loonschijven_Tranches salariale'!$Q34*0.6),4)*$Y$1,2),ROUND(ROUND((Basisbedragen!$C$28*0.6),4)*$Y$1,2)))</f>
        <v>65.97</v>
      </c>
      <c r="J35" s="59">
        <f>IF(ROUND(ROUND(('Loonschijven_Tranches salariale'!$Q34*0.6),4)*$Y$1,2)&lt;J$8,J$8,IF('Loonschijven_Tranches salariale'!$Q34&lt;Basisbedragen!$C$28,ROUND(ROUND(('Loonschijven_Tranches salariale'!$Q34*0.6),4)*$Y$1,2),ROUND(ROUND((Basisbedragen!$C$28*0.6),4)*$Y$1,2)))</f>
        <v>53.47</v>
      </c>
      <c r="K35" s="505">
        <f>IF(ROUND(ROUND(('Loonschijven_Tranches salariale'!$Q34*0.6),4)*$Y$1,2)&lt;K$8,K$8,IF('Loonschijven_Tranches salariale'!$Q34&lt;Basisbedragen!$C$28,ROUND(ROUND(('Loonschijven_Tranches salariale'!$Q34*0.6),4)*$Y$1,2),ROUND(ROUND((Basisbedragen!$C$28*0.6),4)*$Y$1,2)))</f>
        <v>47.51</v>
      </c>
      <c r="L35" s="519"/>
      <c r="M35" s="59">
        <f>IF(ROUND(ROUND(('Loonschijven_Tranches salariale'!$Q34*0.6),4)*$Y$1,2)&lt;M$8,M$8,IF('Loonschijven_Tranches salariale'!$Q34&lt;Basisbedragen!$C$24,ROUND(ROUND(('Loonschijven_Tranches salariale'!$Q34*0.6),4)*$Y$1,2),ROUND(ROUND((Basisbedragen!$C$24*0.6),4)*$Y$1,2)))</f>
        <v>71.099999999999994</v>
      </c>
      <c r="N35" s="59">
        <f>IF(ROUND(ROUND(('Loonschijven_Tranches salariale'!$Q34*0.6),4)*$Y$1,2)&lt;N$8,N$8,IF('Loonschijven_Tranches salariale'!$Q34&lt;Basisbedragen!$C$24,ROUND(ROUND(('Loonschijven_Tranches salariale'!$Q34*0.6),4)*$Y$1,2),ROUND(ROUND((Basisbedragen!$C$24*0.6),4)*$Y$1,2)))</f>
        <v>62.64</v>
      </c>
      <c r="P35" s="59">
        <f t="shared" si="3"/>
        <v>40.94</v>
      </c>
      <c r="Q35" s="59">
        <f t="shared" si="4"/>
        <v>34.119999999999997</v>
      </c>
      <c r="S35" s="59">
        <f>'TW-CT_JS'!N34</f>
        <v>31.11</v>
      </c>
      <c r="T35" s="59">
        <f t="shared" si="5"/>
        <v>31.11</v>
      </c>
      <c r="U35" s="59">
        <f t="shared" si="6"/>
        <v>31.11</v>
      </c>
      <c r="W35" s="59">
        <f t="shared" si="7"/>
        <v>32.99</v>
      </c>
      <c r="X35" s="59">
        <f t="shared" si="8"/>
        <v>26.74</v>
      </c>
      <c r="Y35" s="59">
        <f t="shared" si="9"/>
        <v>23.76</v>
      </c>
      <c r="Z35" s="519"/>
      <c r="AA35" s="59">
        <f t="shared" si="10"/>
        <v>35.549999999999997</v>
      </c>
      <c r="AB35" s="59">
        <f t="shared" si="10"/>
        <v>31.32</v>
      </c>
    </row>
    <row r="36" spans="1:28" ht="15" outlineLevel="1" thickBot="1">
      <c r="A36" s="54">
        <f t="shared" si="11"/>
        <v>28</v>
      </c>
      <c r="B36" s="59">
        <f>ROUND(A!$D36*1.2,2)</f>
        <v>81.88</v>
      </c>
      <c r="C36" s="59">
        <f>A!$D36</f>
        <v>68.23</v>
      </c>
      <c r="E36" s="59">
        <f>'TW-CT_JS'!D35</f>
        <v>62.22</v>
      </c>
      <c r="F36" s="59">
        <f t="shared" si="1"/>
        <v>62.22</v>
      </c>
      <c r="G36" s="59">
        <f t="shared" si="2"/>
        <v>62.22</v>
      </c>
      <c r="I36" s="59">
        <f>IF(ROUND(ROUND(('Loonschijven_Tranches salariale'!$Q35*0.6),4)*$Y$1,2)&lt;I$8,I$8,IF('Loonschijven_Tranches salariale'!$Q35&lt;Basisbedragen!$C$28,ROUND(ROUND(('Loonschijven_Tranches salariale'!$Q35*0.6),4)*$Y$1,2),ROUND(ROUND((Basisbedragen!$C$28*0.6),4)*$Y$1,2)))</f>
        <v>65.97</v>
      </c>
      <c r="J36" s="59">
        <f>IF(ROUND(ROUND(('Loonschijven_Tranches salariale'!$Q35*0.6),4)*$Y$1,2)&lt;J$8,J$8,IF('Loonschijven_Tranches salariale'!$Q35&lt;Basisbedragen!$C$28,ROUND(ROUND(('Loonschijven_Tranches salariale'!$Q35*0.6),4)*$Y$1,2),ROUND(ROUND((Basisbedragen!$C$28*0.6),4)*$Y$1,2)))</f>
        <v>53.47</v>
      </c>
      <c r="K36" s="505">
        <f>IF(ROUND(ROUND(('Loonschijven_Tranches salariale'!$Q35*0.6),4)*$Y$1,2)&lt;K$8,K$8,IF('Loonschijven_Tranches salariale'!$Q35&lt;Basisbedragen!$C$28,ROUND(ROUND(('Loonschijven_Tranches salariale'!$Q35*0.6),4)*$Y$1,2),ROUND(ROUND((Basisbedragen!$C$28*0.6),4)*$Y$1,2)))</f>
        <v>47.51</v>
      </c>
      <c r="L36" s="519"/>
      <c r="M36" s="59">
        <f>IF(ROUND(ROUND(('Loonschijven_Tranches salariale'!$Q35*0.6),4)*$Y$1,2)&lt;M$8,M$8,IF('Loonschijven_Tranches salariale'!$Q35&lt;Basisbedragen!$C$24,ROUND(ROUND(('Loonschijven_Tranches salariale'!$Q35*0.6),4)*$Y$1,2),ROUND(ROUND((Basisbedragen!$C$24*0.6),4)*$Y$1,2)))</f>
        <v>71.099999999999994</v>
      </c>
      <c r="N36" s="59">
        <f>IF(ROUND(ROUND(('Loonschijven_Tranches salariale'!$Q35*0.6),4)*$Y$1,2)&lt;N$8,N$8,IF('Loonschijven_Tranches salariale'!$Q35&lt;Basisbedragen!$C$24,ROUND(ROUND(('Loonschijven_Tranches salariale'!$Q35*0.6),4)*$Y$1,2),ROUND(ROUND((Basisbedragen!$C$24*0.6),4)*$Y$1,2)))</f>
        <v>62.64</v>
      </c>
      <c r="P36" s="59">
        <f t="shared" si="3"/>
        <v>40.94</v>
      </c>
      <c r="Q36" s="59">
        <f t="shared" si="4"/>
        <v>34.119999999999997</v>
      </c>
      <c r="S36" s="59">
        <f>'TW-CT_JS'!N35</f>
        <v>31.11</v>
      </c>
      <c r="T36" s="59">
        <f t="shared" si="5"/>
        <v>31.11</v>
      </c>
      <c r="U36" s="59">
        <f t="shared" si="6"/>
        <v>31.11</v>
      </c>
      <c r="W36" s="59">
        <f t="shared" si="7"/>
        <v>32.99</v>
      </c>
      <c r="X36" s="59">
        <f t="shared" si="8"/>
        <v>26.74</v>
      </c>
      <c r="Y36" s="59">
        <f t="shared" si="9"/>
        <v>23.76</v>
      </c>
      <c r="Z36" s="519"/>
      <c r="AA36" s="59">
        <f t="shared" si="10"/>
        <v>35.549999999999997</v>
      </c>
      <c r="AB36" s="59">
        <f t="shared" si="10"/>
        <v>31.32</v>
      </c>
    </row>
    <row r="37" spans="1:28" ht="15" outlineLevel="1" thickBot="1">
      <c r="A37" s="54">
        <f t="shared" si="11"/>
        <v>29</v>
      </c>
      <c r="B37" s="59">
        <f>ROUND(A!$D37*1.2,2)</f>
        <v>81.88</v>
      </c>
      <c r="C37" s="59">
        <f>A!$D37</f>
        <v>68.23</v>
      </c>
      <c r="E37" s="59">
        <f>'TW-CT_JS'!D36</f>
        <v>62.22</v>
      </c>
      <c r="F37" s="59">
        <f t="shared" si="1"/>
        <v>62.22</v>
      </c>
      <c r="G37" s="59">
        <f t="shared" si="2"/>
        <v>62.22</v>
      </c>
      <c r="I37" s="59">
        <f>IF(ROUND(ROUND(('Loonschijven_Tranches salariale'!$Q36*0.6),4)*$Y$1,2)&lt;I$8,I$8,IF('Loonschijven_Tranches salariale'!$Q36&lt;Basisbedragen!$C$28,ROUND(ROUND(('Loonschijven_Tranches salariale'!$Q36*0.6),4)*$Y$1,2),ROUND(ROUND((Basisbedragen!$C$28*0.6),4)*$Y$1,2)))</f>
        <v>65.97</v>
      </c>
      <c r="J37" s="59">
        <f>IF(ROUND(ROUND(('Loonschijven_Tranches salariale'!$Q36*0.6),4)*$Y$1,2)&lt;J$8,J$8,IF('Loonschijven_Tranches salariale'!$Q36&lt;Basisbedragen!$C$28,ROUND(ROUND(('Loonschijven_Tranches salariale'!$Q36*0.6),4)*$Y$1,2),ROUND(ROUND((Basisbedragen!$C$28*0.6),4)*$Y$1,2)))</f>
        <v>53.47</v>
      </c>
      <c r="K37" s="505">
        <f>IF(ROUND(ROUND(('Loonschijven_Tranches salariale'!$Q36*0.6),4)*$Y$1,2)&lt;K$8,K$8,IF('Loonschijven_Tranches salariale'!$Q36&lt;Basisbedragen!$C$28,ROUND(ROUND(('Loonschijven_Tranches salariale'!$Q36*0.6),4)*$Y$1,2),ROUND(ROUND((Basisbedragen!$C$28*0.6),4)*$Y$1,2)))</f>
        <v>47.51</v>
      </c>
      <c r="L37" s="519"/>
      <c r="M37" s="59">
        <f>IF(ROUND(ROUND(('Loonschijven_Tranches salariale'!$Q36*0.6),4)*$Y$1,2)&lt;M$8,M$8,IF('Loonschijven_Tranches salariale'!$Q36&lt;Basisbedragen!$C$24,ROUND(ROUND(('Loonschijven_Tranches salariale'!$Q36*0.6),4)*$Y$1,2),ROUND(ROUND((Basisbedragen!$C$24*0.6),4)*$Y$1,2)))</f>
        <v>71.099999999999994</v>
      </c>
      <c r="N37" s="59">
        <f>IF(ROUND(ROUND(('Loonschijven_Tranches salariale'!$Q36*0.6),4)*$Y$1,2)&lt;N$8,N$8,IF('Loonschijven_Tranches salariale'!$Q36&lt;Basisbedragen!$C$24,ROUND(ROUND(('Loonschijven_Tranches salariale'!$Q36*0.6),4)*$Y$1,2),ROUND(ROUND((Basisbedragen!$C$24*0.6),4)*$Y$1,2)))</f>
        <v>62.64</v>
      </c>
      <c r="P37" s="59">
        <f t="shared" si="3"/>
        <v>40.94</v>
      </c>
      <c r="Q37" s="59">
        <f t="shared" si="4"/>
        <v>34.119999999999997</v>
      </c>
      <c r="S37" s="59">
        <f>'TW-CT_JS'!N36</f>
        <v>31.11</v>
      </c>
      <c r="T37" s="59">
        <f t="shared" si="5"/>
        <v>31.11</v>
      </c>
      <c r="U37" s="59">
        <f t="shared" si="6"/>
        <v>31.11</v>
      </c>
      <c r="W37" s="59">
        <f t="shared" si="7"/>
        <v>32.99</v>
      </c>
      <c r="X37" s="59">
        <f t="shared" si="8"/>
        <v>26.74</v>
      </c>
      <c r="Y37" s="59">
        <f t="shared" si="9"/>
        <v>23.76</v>
      </c>
      <c r="Z37" s="519"/>
      <c r="AA37" s="59">
        <f t="shared" si="10"/>
        <v>35.549999999999997</v>
      </c>
      <c r="AB37" s="59">
        <f t="shared" si="10"/>
        <v>31.32</v>
      </c>
    </row>
    <row r="38" spans="1:28" ht="15" outlineLevel="1" thickBot="1">
      <c r="A38" s="54">
        <f t="shared" si="11"/>
        <v>30</v>
      </c>
      <c r="B38" s="59">
        <f>ROUND(A!$D38*1.2,2)</f>
        <v>81.88</v>
      </c>
      <c r="C38" s="59">
        <f>A!$D38</f>
        <v>68.23</v>
      </c>
      <c r="E38" s="59">
        <f>'TW-CT_JS'!D37</f>
        <v>62.22</v>
      </c>
      <c r="F38" s="59">
        <f t="shared" si="1"/>
        <v>62.22</v>
      </c>
      <c r="G38" s="59">
        <f t="shared" si="2"/>
        <v>62.22</v>
      </c>
      <c r="I38" s="59">
        <f>IF(ROUND(ROUND(('Loonschijven_Tranches salariale'!$Q37*0.6),4)*$Y$1,2)&lt;I$8,I$8,IF('Loonschijven_Tranches salariale'!$Q37&lt;Basisbedragen!$C$28,ROUND(ROUND(('Loonschijven_Tranches salariale'!$Q37*0.6),4)*$Y$1,2),ROUND(ROUND((Basisbedragen!$C$28*0.6),4)*$Y$1,2)))</f>
        <v>65.97</v>
      </c>
      <c r="J38" s="59">
        <f>IF(ROUND(ROUND(('Loonschijven_Tranches salariale'!$Q37*0.6),4)*$Y$1,2)&lt;J$8,J$8,IF('Loonschijven_Tranches salariale'!$Q37&lt;Basisbedragen!$C$28,ROUND(ROUND(('Loonschijven_Tranches salariale'!$Q37*0.6),4)*$Y$1,2),ROUND(ROUND((Basisbedragen!$C$28*0.6),4)*$Y$1,2)))</f>
        <v>53.47</v>
      </c>
      <c r="K38" s="59">
        <f>IF(ROUND(ROUND(('Loonschijven_Tranches salariale'!$Q37*0.6),4)*$Y$1,2)&lt;K$8,K$8,IF('Loonschijven_Tranches salariale'!$Q37&lt;Basisbedragen!$C$28,ROUND(ROUND(('Loonschijven_Tranches salariale'!$Q37*0.6),4)*$Y$1,2),ROUND(ROUND((Basisbedragen!$C$28*0.6),4)*$Y$1,2)))</f>
        <v>47.51</v>
      </c>
      <c r="L38"/>
      <c r="M38" s="59">
        <f>IF(ROUND(ROUND(('Loonschijven_Tranches salariale'!$Q37*0.6),4)*$Y$1,2)&lt;M$8,M$8,IF('Loonschijven_Tranches salariale'!$Q37&lt;Basisbedragen!$C$24,ROUND(ROUND(('Loonschijven_Tranches salariale'!$Q37*0.6),4)*$Y$1,2),ROUND(ROUND((Basisbedragen!$C$24*0.6),4)*$Y$1,2)))</f>
        <v>71.099999999999994</v>
      </c>
      <c r="N38" s="59">
        <f>IF(ROUND(ROUND(('Loonschijven_Tranches salariale'!$Q37*0.6),4)*$Y$1,2)&lt;N$8,N$8,IF('Loonschijven_Tranches salariale'!$Q37&lt;Basisbedragen!$C$24,ROUND(ROUND(('Loonschijven_Tranches salariale'!$Q37*0.6),4)*$Y$1,2),ROUND(ROUND((Basisbedragen!$C$24*0.6),4)*$Y$1,2)))</f>
        <v>62.64</v>
      </c>
      <c r="P38" s="59">
        <f t="shared" si="3"/>
        <v>40.94</v>
      </c>
      <c r="Q38" s="59">
        <f t="shared" si="4"/>
        <v>34.119999999999997</v>
      </c>
      <c r="S38" s="59">
        <f>'TW-CT_JS'!N37</f>
        <v>31.11</v>
      </c>
      <c r="T38" s="59">
        <f t="shared" si="5"/>
        <v>31.11</v>
      </c>
      <c r="U38" s="59">
        <f t="shared" si="6"/>
        <v>31.11</v>
      </c>
      <c r="W38" s="59">
        <f t="shared" si="7"/>
        <v>32.99</v>
      </c>
      <c r="X38" s="59">
        <f t="shared" si="8"/>
        <v>26.74</v>
      </c>
      <c r="Y38" s="59">
        <f t="shared" si="9"/>
        <v>23.76</v>
      </c>
      <c r="Z38"/>
      <c r="AA38" s="59">
        <f t="shared" si="10"/>
        <v>35.549999999999997</v>
      </c>
      <c r="AB38" s="59">
        <f t="shared" si="10"/>
        <v>31.32</v>
      </c>
    </row>
    <row r="39" spans="1:28" ht="15" outlineLevel="1" thickBot="1">
      <c r="A39" s="54">
        <f t="shared" si="11"/>
        <v>31</v>
      </c>
      <c r="B39" s="59">
        <f>ROUND(A!$D39*1.2,2)</f>
        <v>81.88</v>
      </c>
      <c r="C39" s="59">
        <f>A!$D39</f>
        <v>68.23</v>
      </c>
      <c r="E39" s="59">
        <f>'TW-CT_JS'!D38</f>
        <v>62.22</v>
      </c>
      <c r="F39" s="59">
        <f t="shared" si="1"/>
        <v>62.22</v>
      </c>
      <c r="G39" s="59">
        <f t="shared" si="2"/>
        <v>62.22</v>
      </c>
      <c r="I39" s="59">
        <f>IF(ROUND(ROUND(('Loonschijven_Tranches salariale'!$Q38*0.6),4)*$Y$1,2)&lt;I$8,I$8,IF('Loonschijven_Tranches salariale'!$Q38&lt;Basisbedragen!$C$28,ROUND(ROUND(('Loonschijven_Tranches salariale'!$Q38*0.6),4)*$Y$1,2),ROUND(ROUND((Basisbedragen!$C$28*0.6),4)*$Y$1,2)))</f>
        <v>65.97</v>
      </c>
      <c r="J39" s="59">
        <f>IF(ROUND(ROUND(('Loonschijven_Tranches salariale'!$Q38*0.6),4)*$Y$1,2)&lt;J$8,J$8,IF('Loonschijven_Tranches salariale'!$Q38&lt;Basisbedragen!$C$28,ROUND(ROUND(('Loonschijven_Tranches salariale'!$Q38*0.6),4)*$Y$1,2),ROUND(ROUND((Basisbedragen!$C$28*0.6),4)*$Y$1,2)))</f>
        <v>53.47</v>
      </c>
      <c r="K39" s="505">
        <f>IF(ROUND(ROUND(('Loonschijven_Tranches salariale'!$Q38*0.6),4)*$Y$1,2)&lt;K$8,K$8,IF('Loonschijven_Tranches salariale'!$Q38&lt;Basisbedragen!$C$28,ROUND(ROUND(('Loonschijven_Tranches salariale'!$Q38*0.6),4)*$Y$1,2),ROUND(ROUND((Basisbedragen!$C$28*0.6),4)*$Y$1,2)))</f>
        <v>47.51</v>
      </c>
      <c r="L39" s="519"/>
      <c r="M39" s="59">
        <f>IF(ROUND(ROUND(('Loonschijven_Tranches salariale'!$Q38*0.6),4)*$Y$1,2)&lt;M$8,M$8,IF('Loonschijven_Tranches salariale'!$Q38&lt;Basisbedragen!$C$24,ROUND(ROUND(('Loonschijven_Tranches salariale'!$Q38*0.6),4)*$Y$1,2),ROUND(ROUND((Basisbedragen!$C$24*0.6),4)*$Y$1,2)))</f>
        <v>71.099999999999994</v>
      </c>
      <c r="N39" s="59">
        <f>IF(ROUND(ROUND(('Loonschijven_Tranches salariale'!$Q38*0.6),4)*$Y$1,2)&lt;N$8,N$8,IF('Loonschijven_Tranches salariale'!$Q38&lt;Basisbedragen!$C$24,ROUND(ROUND(('Loonschijven_Tranches salariale'!$Q38*0.6),4)*$Y$1,2),ROUND(ROUND((Basisbedragen!$C$24*0.6),4)*$Y$1,2)))</f>
        <v>62.64</v>
      </c>
      <c r="P39" s="59">
        <f t="shared" si="3"/>
        <v>40.94</v>
      </c>
      <c r="Q39" s="59">
        <f t="shared" si="4"/>
        <v>34.119999999999997</v>
      </c>
      <c r="S39" s="59">
        <f>'TW-CT_JS'!N38</f>
        <v>31.11</v>
      </c>
      <c r="T39" s="59">
        <f t="shared" si="5"/>
        <v>31.11</v>
      </c>
      <c r="U39" s="59">
        <f t="shared" si="6"/>
        <v>31.11</v>
      </c>
      <c r="W39" s="59">
        <f t="shared" si="7"/>
        <v>32.99</v>
      </c>
      <c r="X39" s="59">
        <f t="shared" si="8"/>
        <v>26.74</v>
      </c>
      <c r="Y39" s="59">
        <f t="shared" si="9"/>
        <v>23.76</v>
      </c>
      <c r="Z39" s="519"/>
      <c r="AA39" s="59">
        <f t="shared" si="10"/>
        <v>35.549999999999997</v>
      </c>
      <c r="AB39" s="59">
        <f t="shared" si="10"/>
        <v>31.32</v>
      </c>
    </row>
    <row r="40" spans="1:28" ht="15" outlineLevel="1" thickBot="1">
      <c r="A40" s="54">
        <f t="shared" si="11"/>
        <v>32</v>
      </c>
      <c r="B40" s="59">
        <f>ROUND(A!$D40*1.2,2)</f>
        <v>81.88</v>
      </c>
      <c r="C40" s="59">
        <f>A!$D40</f>
        <v>68.23</v>
      </c>
      <c r="E40" s="59">
        <f>'TW-CT_JS'!D39</f>
        <v>62.22</v>
      </c>
      <c r="F40" s="59">
        <f t="shared" si="1"/>
        <v>62.22</v>
      </c>
      <c r="G40" s="59">
        <f t="shared" si="2"/>
        <v>62.22</v>
      </c>
      <c r="I40" s="59">
        <f>IF(ROUND(ROUND(('Loonschijven_Tranches salariale'!$Q39*0.6),4)*$Y$1,2)&lt;I$8,I$8,IF('Loonschijven_Tranches salariale'!$Q39&lt;Basisbedragen!$C$28,ROUND(ROUND(('Loonschijven_Tranches salariale'!$Q39*0.6),4)*$Y$1,2),ROUND(ROUND((Basisbedragen!$C$28*0.6),4)*$Y$1,2)))</f>
        <v>65.97</v>
      </c>
      <c r="J40" s="59">
        <f>IF(ROUND(ROUND(('Loonschijven_Tranches salariale'!$Q39*0.6),4)*$Y$1,2)&lt;J$8,J$8,IF('Loonschijven_Tranches salariale'!$Q39&lt;Basisbedragen!$C$28,ROUND(ROUND(('Loonschijven_Tranches salariale'!$Q39*0.6),4)*$Y$1,2),ROUND(ROUND((Basisbedragen!$C$28*0.6),4)*$Y$1,2)))</f>
        <v>53.47</v>
      </c>
      <c r="K40" s="505">
        <f>IF(ROUND(ROUND(('Loonschijven_Tranches salariale'!$Q39*0.6),4)*$Y$1,2)&lt;K$8,K$8,IF('Loonschijven_Tranches salariale'!$Q39&lt;Basisbedragen!$C$28,ROUND(ROUND(('Loonschijven_Tranches salariale'!$Q39*0.6),4)*$Y$1,2),ROUND(ROUND((Basisbedragen!$C$28*0.6),4)*$Y$1,2)))</f>
        <v>47.51</v>
      </c>
      <c r="L40" s="519"/>
      <c r="M40" s="59">
        <f>IF(ROUND(ROUND(('Loonschijven_Tranches salariale'!$Q39*0.6),4)*$Y$1,2)&lt;M$8,M$8,IF('Loonschijven_Tranches salariale'!$Q39&lt;Basisbedragen!$C$24,ROUND(ROUND(('Loonschijven_Tranches salariale'!$Q39*0.6),4)*$Y$1,2),ROUND(ROUND((Basisbedragen!$C$24*0.6),4)*$Y$1,2)))</f>
        <v>71.099999999999994</v>
      </c>
      <c r="N40" s="59">
        <f>IF(ROUND(ROUND(('Loonschijven_Tranches salariale'!$Q39*0.6),4)*$Y$1,2)&lt;N$8,N$8,IF('Loonschijven_Tranches salariale'!$Q39&lt;Basisbedragen!$C$24,ROUND(ROUND(('Loonschijven_Tranches salariale'!$Q39*0.6),4)*$Y$1,2),ROUND(ROUND((Basisbedragen!$C$24*0.6),4)*$Y$1,2)))</f>
        <v>62.64</v>
      </c>
      <c r="P40" s="59">
        <f t="shared" si="3"/>
        <v>40.94</v>
      </c>
      <c r="Q40" s="59">
        <f t="shared" si="4"/>
        <v>34.119999999999997</v>
      </c>
      <c r="S40" s="59">
        <f>'TW-CT_JS'!N39</f>
        <v>31.11</v>
      </c>
      <c r="T40" s="59">
        <f t="shared" si="5"/>
        <v>31.11</v>
      </c>
      <c r="U40" s="59">
        <f t="shared" si="6"/>
        <v>31.11</v>
      </c>
      <c r="W40" s="59">
        <f t="shared" si="7"/>
        <v>32.99</v>
      </c>
      <c r="X40" s="59">
        <f t="shared" si="8"/>
        <v>26.74</v>
      </c>
      <c r="Y40" s="59">
        <f t="shared" si="9"/>
        <v>23.76</v>
      </c>
      <c r="Z40" s="519"/>
      <c r="AA40" s="59">
        <f t="shared" si="10"/>
        <v>35.549999999999997</v>
      </c>
      <c r="AB40" s="59">
        <f t="shared" si="10"/>
        <v>31.32</v>
      </c>
    </row>
    <row r="41" spans="1:28" ht="15" outlineLevel="1" thickBot="1">
      <c r="A41" s="54">
        <f t="shared" si="11"/>
        <v>33</v>
      </c>
      <c r="B41" s="59">
        <f>ROUND(A!$D41*1.2,2)</f>
        <v>81.88</v>
      </c>
      <c r="C41" s="59">
        <f>A!$D41</f>
        <v>68.23</v>
      </c>
      <c r="E41" s="59">
        <f>'TW-CT_JS'!D40</f>
        <v>62.22</v>
      </c>
      <c r="F41" s="59">
        <f t="shared" si="1"/>
        <v>62.22</v>
      </c>
      <c r="G41" s="59">
        <f t="shared" si="2"/>
        <v>62.22</v>
      </c>
      <c r="I41" s="59">
        <f>IF(ROUND(ROUND(('Loonschijven_Tranches salariale'!$Q40*0.6),4)*$Y$1,2)&lt;I$8,I$8,IF('Loonschijven_Tranches salariale'!$Q40&lt;Basisbedragen!$C$28,ROUND(ROUND(('Loonschijven_Tranches salariale'!$Q40*0.6),4)*$Y$1,2),ROUND(ROUND((Basisbedragen!$C$28*0.6),4)*$Y$1,2)))</f>
        <v>65.97</v>
      </c>
      <c r="J41" s="59">
        <f>IF(ROUND(ROUND(('Loonschijven_Tranches salariale'!$Q40*0.6),4)*$Y$1,2)&lt;J$8,J$8,IF('Loonschijven_Tranches salariale'!$Q40&lt;Basisbedragen!$C$28,ROUND(ROUND(('Loonschijven_Tranches salariale'!$Q40*0.6),4)*$Y$1,2),ROUND(ROUND((Basisbedragen!$C$28*0.6),4)*$Y$1,2)))</f>
        <v>53.47</v>
      </c>
      <c r="K41" s="505">
        <f>IF(ROUND(ROUND(('Loonschijven_Tranches salariale'!$Q40*0.6),4)*$Y$1,2)&lt;K$8,K$8,IF('Loonschijven_Tranches salariale'!$Q40&lt;Basisbedragen!$C$28,ROUND(ROUND(('Loonschijven_Tranches salariale'!$Q40*0.6),4)*$Y$1,2),ROUND(ROUND((Basisbedragen!$C$28*0.6),4)*$Y$1,2)))</f>
        <v>47.51</v>
      </c>
      <c r="L41" s="519"/>
      <c r="M41" s="59">
        <f>IF(ROUND(ROUND(('Loonschijven_Tranches salariale'!$Q40*0.6),4)*$Y$1,2)&lt;M$8,M$8,IF('Loonschijven_Tranches salariale'!$Q40&lt;Basisbedragen!$C$24,ROUND(ROUND(('Loonschijven_Tranches salariale'!$Q40*0.6),4)*$Y$1,2),ROUND(ROUND((Basisbedragen!$C$24*0.6),4)*$Y$1,2)))</f>
        <v>71.099999999999994</v>
      </c>
      <c r="N41" s="59">
        <f>IF(ROUND(ROUND(('Loonschijven_Tranches salariale'!$Q40*0.6),4)*$Y$1,2)&lt;N$8,N$8,IF('Loonschijven_Tranches salariale'!$Q40&lt;Basisbedragen!$C$24,ROUND(ROUND(('Loonschijven_Tranches salariale'!$Q40*0.6),4)*$Y$1,2),ROUND(ROUND((Basisbedragen!$C$24*0.6),4)*$Y$1,2)))</f>
        <v>62.64</v>
      </c>
      <c r="P41" s="59">
        <f t="shared" si="3"/>
        <v>40.94</v>
      </c>
      <c r="Q41" s="59">
        <f t="shared" si="4"/>
        <v>34.119999999999997</v>
      </c>
      <c r="S41" s="59">
        <f>'TW-CT_JS'!N40</f>
        <v>31.11</v>
      </c>
      <c r="T41" s="59">
        <f t="shared" si="5"/>
        <v>31.11</v>
      </c>
      <c r="U41" s="59">
        <f t="shared" si="6"/>
        <v>31.11</v>
      </c>
      <c r="W41" s="59">
        <f t="shared" si="7"/>
        <v>32.99</v>
      </c>
      <c r="X41" s="59">
        <f t="shared" si="8"/>
        <v>26.74</v>
      </c>
      <c r="Y41" s="59">
        <f t="shared" si="9"/>
        <v>23.76</v>
      </c>
      <c r="Z41" s="519"/>
      <c r="AA41" s="59">
        <f t="shared" si="10"/>
        <v>35.549999999999997</v>
      </c>
      <c r="AB41" s="59">
        <f t="shared" si="10"/>
        <v>31.32</v>
      </c>
    </row>
    <row r="42" spans="1:28" ht="15" outlineLevel="1" thickBot="1">
      <c r="A42" s="54">
        <f t="shared" si="11"/>
        <v>34</v>
      </c>
      <c r="B42" s="59">
        <f>ROUND(A!$D42*1.2,2)</f>
        <v>81.88</v>
      </c>
      <c r="C42" s="59">
        <f>A!$D42</f>
        <v>68.23</v>
      </c>
      <c r="E42" s="59">
        <f>'TW-CT_JS'!D41</f>
        <v>62.22</v>
      </c>
      <c r="F42" s="59">
        <f t="shared" si="1"/>
        <v>62.22</v>
      </c>
      <c r="G42" s="59">
        <f t="shared" si="2"/>
        <v>62.22</v>
      </c>
      <c r="I42" s="59">
        <f>IF(ROUND(ROUND(('Loonschijven_Tranches salariale'!$Q41*0.6),4)*$Y$1,2)&lt;I$8,I$8,IF('Loonschijven_Tranches salariale'!$Q41&lt;Basisbedragen!$C$28,ROUND(ROUND(('Loonschijven_Tranches salariale'!$Q41*0.6),4)*$Y$1,2),ROUND(ROUND((Basisbedragen!$C$28*0.6),4)*$Y$1,2)))</f>
        <v>65.97</v>
      </c>
      <c r="J42" s="59">
        <f>IF(ROUND(ROUND(('Loonschijven_Tranches salariale'!$Q41*0.6),4)*$Y$1,2)&lt;J$8,J$8,IF('Loonschijven_Tranches salariale'!$Q41&lt;Basisbedragen!$C$28,ROUND(ROUND(('Loonschijven_Tranches salariale'!$Q41*0.6),4)*$Y$1,2),ROUND(ROUND((Basisbedragen!$C$28*0.6),4)*$Y$1,2)))</f>
        <v>53.47</v>
      </c>
      <c r="K42" s="505">
        <f>IF(ROUND(ROUND(('Loonschijven_Tranches salariale'!$Q41*0.6),4)*$Y$1,2)&lt;K$8,K$8,IF('Loonschijven_Tranches salariale'!$Q41&lt;Basisbedragen!$C$28,ROUND(ROUND(('Loonschijven_Tranches salariale'!$Q41*0.6),4)*$Y$1,2),ROUND(ROUND((Basisbedragen!$C$28*0.6),4)*$Y$1,2)))</f>
        <v>47.51</v>
      </c>
      <c r="L42" s="519"/>
      <c r="M42" s="59">
        <f>IF(ROUND(ROUND(('Loonschijven_Tranches salariale'!$Q41*0.6),4)*$Y$1,2)&lt;M$8,M$8,IF('Loonschijven_Tranches salariale'!$Q41&lt;Basisbedragen!$C$24,ROUND(ROUND(('Loonschijven_Tranches salariale'!$Q41*0.6),4)*$Y$1,2),ROUND(ROUND((Basisbedragen!$C$24*0.6),4)*$Y$1,2)))</f>
        <v>71.099999999999994</v>
      </c>
      <c r="N42" s="59">
        <f>IF(ROUND(ROUND(('Loonschijven_Tranches salariale'!$Q41*0.6),4)*$Y$1,2)&lt;N$8,N$8,IF('Loonschijven_Tranches salariale'!$Q41&lt;Basisbedragen!$C$24,ROUND(ROUND(('Loonschijven_Tranches salariale'!$Q41*0.6),4)*$Y$1,2),ROUND(ROUND((Basisbedragen!$C$24*0.6),4)*$Y$1,2)))</f>
        <v>62.64</v>
      </c>
      <c r="P42" s="59">
        <f t="shared" si="3"/>
        <v>40.94</v>
      </c>
      <c r="Q42" s="59">
        <f t="shared" si="4"/>
        <v>34.119999999999997</v>
      </c>
      <c r="S42" s="59">
        <f>'TW-CT_JS'!N41</f>
        <v>31.11</v>
      </c>
      <c r="T42" s="59">
        <f t="shared" si="5"/>
        <v>31.11</v>
      </c>
      <c r="U42" s="59">
        <f t="shared" si="6"/>
        <v>31.11</v>
      </c>
      <c r="W42" s="59">
        <f t="shared" si="7"/>
        <v>32.99</v>
      </c>
      <c r="X42" s="59">
        <f t="shared" si="8"/>
        <v>26.74</v>
      </c>
      <c r="Y42" s="59">
        <f t="shared" si="9"/>
        <v>23.76</v>
      </c>
      <c r="Z42" s="519"/>
      <c r="AA42" s="59">
        <f t="shared" si="10"/>
        <v>35.549999999999997</v>
      </c>
      <c r="AB42" s="59">
        <f t="shared" si="10"/>
        <v>31.32</v>
      </c>
    </row>
    <row r="43" spans="1:28" ht="15" outlineLevel="1" thickBot="1">
      <c r="A43" s="54">
        <f t="shared" si="11"/>
        <v>35</v>
      </c>
      <c r="B43" s="59">
        <f>ROUND(A!$D43*1.2,2)</f>
        <v>81.88</v>
      </c>
      <c r="C43" s="59">
        <f>A!$D43</f>
        <v>68.23</v>
      </c>
      <c r="E43" s="59">
        <f>'TW-CT_JS'!D42</f>
        <v>62.22</v>
      </c>
      <c r="F43" s="59">
        <f t="shared" si="1"/>
        <v>62.22</v>
      </c>
      <c r="G43" s="59">
        <f t="shared" si="2"/>
        <v>62.22</v>
      </c>
      <c r="I43" s="59">
        <f>IF(ROUND(ROUND(('Loonschijven_Tranches salariale'!$Q42*0.6),4)*$Y$1,2)&lt;I$8,I$8,IF('Loonschijven_Tranches salariale'!$Q42&lt;Basisbedragen!$C$28,ROUND(ROUND(('Loonschijven_Tranches salariale'!$Q42*0.6),4)*$Y$1,2),ROUND(ROUND((Basisbedragen!$C$28*0.6),4)*$Y$1,2)))</f>
        <v>65.97</v>
      </c>
      <c r="J43" s="59">
        <f>IF(ROUND(ROUND(('Loonschijven_Tranches salariale'!$Q42*0.6),4)*$Y$1,2)&lt;J$8,J$8,IF('Loonschijven_Tranches salariale'!$Q42&lt;Basisbedragen!$C$28,ROUND(ROUND(('Loonschijven_Tranches salariale'!$Q42*0.6),4)*$Y$1,2),ROUND(ROUND((Basisbedragen!$C$28*0.6),4)*$Y$1,2)))</f>
        <v>53.47</v>
      </c>
      <c r="K43" s="59">
        <f>IF(ROUND(ROUND(('Loonschijven_Tranches salariale'!$Q42*0.6),4)*$Y$1,2)&lt;K$8,K$8,IF('Loonschijven_Tranches salariale'!$Q42&lt;Basisbedragen!$C$28,ROUND(ROUND(('Loonschijven_Tranches salariale'!$Q42*0.6),4)*$Y$1,2),ROUND(ROUND((Basisbedragen!$C$28*0.6),4)*$Y$1,2)))</f>
        <v>47.51</v>
      </c>
      <c r="L43"/>
      <c r="M43" s="59">
        <f>IF(ROUND(ROUND(('Loonschijven_Tranches salariale'!$Q42*0.6),4)*$Y$1,2)&lt;M$8,M$8,IF('Loonschijven_Tranches salariale'!$Q42&lt;Basisbedragen!$C$24,ROUND(ROUND(('Loonschijven_Tranches salariale'!$Q42*0.6),4)*$Y$1,2),ROUND(ROUND((Basisbedragen!$C$24*0.6),4)*$Y$1,2)))</f>
        <v>71.099999999999994</v>
      </c>
      <c r="N43" s="59">
        <f>IF(ROUND(ROUND(('Loonschijven_Tranches salariale'!$Q42*0.6),4)*$Y$1,2)&lt;N$8,N$8,IF('Loonschijven_Tranches salariale'!$Q42&lt;Basisbedragen!$C$24,ROUND(ROUND(('Loonschijven_Tranches salariale'!$Q42*0.6),4)*$Y$1,2),ROUND(ROUND((Basisbedragen!$C$24*0.6),4)*$Y$1,2)))</f>
        <v>62.64</v>
      </c>
      <c r="P43" s="59">
        <f t="shared" si="3"/>
        <v>40.94</v>
      </c>
      <c r="Q43" s="59">
        <f t="shared" si="4"/>
        <v>34.119999999999997</v>
      </c>
      <c r="S43" s="59">
        <f>'TW-CT_JS'!N42</f>
        <v>31.11</v>
      </c>
      <c r="T43" s="59">
        <f t="shared" si="5"/>
        <v>31.11</v>
      </c>
      <c r="U43" s="59">
        <f t="shared" si="6"/>
        <v>31.11</v>
      </c>
      <c r="W43" s="59">
        <f t="shared" si="7"/>
        <v>32.99</v>
      </c>
      <c r="X43" s="59">
        <f t="shared" si="8"/>
        <v>26.74</v>
      </c>
      <c r="Y43" s="59">
        <f t="shared" si="9"/>
        <v>23.76</v>
      </c>
      <c r="Z43"/>
      <c r="AA43" s="59">
        <f t="shared" si="10"/>
        <v>35.549999999999997</v>
      </c>
      <c r="AB43" s="59">
        <f t="shared" si="10"/>
        <v>31.32</v>
      </c>
    </row>
    <row r="44" spans="1:28" ht="15" outlineLevel="1" thickBot="1">
      <c r="A44" s="54">
        <f t="shared" si="11"/>
        <v>36</v>
      </c>
      <c r="B44" s="59">
        <f>ROUND(A!$D44*1.2,2)</f>
        <v>81.88</v>
      </c>
      <c r="C44" s="59">
        <f>A!$D44</f>
        <v>68.23</v>
      </c>
      <c r="E44" s="59">
        <f>'TW-CT_JS'!D43</f>
        <v>62.22</v>
      </c>
      <c r="F44" s="59">
        <f t="shared" si="1"/>
        <v>62.22</v>
      </c>
      <c r="G44" s="59">
        <f t="shared" si="2"/>
        <v>62.22</v>
      </c>
      <c r="I44" s="59">
        <f>IF(ROUND(ROUND(('Loonschijven_Tranches salariale'!$Q43*0.6),4)*$Y$1,2)&lt;I$8,I$8,IF('Loonschijven_Tranches salariale'!$Q43&lt;Basisbedragen!$C$28,ROUND(ROUND(('Loonschijven_Tranches salariale'!$Q43*0.6),4)*$Y$1,2),ROUND(ROUND((Basisbedragen!$C$28*0.6),4)*$Y$1,2)))</f>
        <v>65.97</v>
      </c>
      <c r="J44" s="59">
        <f>IF(ROUND(ROUND(('Loonschijven_Tranches salariale'!$Q43*0.6),4)*$Y$1,2)&lt;J$8,J$8,IF('Loonschijven_Tranches salariale'!$Q43&lt;Basisbedragen!$C$28,ROUND(ROUND(('Loonschijven_Tranches salariale'!$Q43*0.6),4)*$Y$1,2),ROUND(ROUND((Basisbedragen!$C$28*0.6),4)*$Y$1,2)))</f>
        <v>53.47</v>
      </c>
      <c r="K44" s="505">
        <f>IF(ROUND(ROUND(('Loonschijven_Tranches salariale'!$Q43*0.6),4)*$Y$1,2)&lt;K$8,K$8,IF('Loonschijven_Tranches salariale'!$Q43&lt;Basisbedragen!$C$28,ROUND(ROUND(('Loonschijven_Tranches salariale'!$Q43*0.6),4)*$Y$1,2),ROUND(ROUND((Basisbedragen!$C$28*0.6),4)*$Y$1,2)))</f>
        <v>47.51</v>
      </c>
      <c r="L44" s="519"/>
      <c r="M44" s="59">
        <f>IF(ROUND(ROUND(('Loonschijven_Tranches salariale'!$Q43*0.6),4)*$Y$1,2)&lt;M$8,M$8,IF('Loonschijven_Tranches salariale'!$Q43&lt;Basisbedragen!$C$24,ROUND(ROUND(('Loonschijven_Tranches salariale'!$Q43*0.6),4)*$Y$1,2),ROUND(ROUND((Basisbedragen!$C$24*0.6),4)*$Y$1,2)))</f>
        <v>71.099999999999994</v>
      </c>
      <c r="N44" s="59">
        <f>IF(ROUND(ROUND(('Loonschijven_Tranches salariale'!$Q43*0.6),4)*$Y$1,2)&lt;N$8,N$8,IF('Loonschijven_Tranches salariale'!$Q43&lt;Basisbedragen!$C$24,ROUND(ROUND(('Loonschijven_Tranches salariale'!$Q43*0.6),4)*$Y$1,2),ROUND(ROUND((Basisbedragen!$C$24*0.6),4)*$Y$1,2)))</f>
        <v>62.64</v>
      </c>
      <c r="P44" s="59">
        <f t="shared" si="3"/>
        <v>40.94</v>
      </c>
      <c r="Q44" s="59">
        <f t="shared" si="4"/>
        <v>34.119999999999997</v>
      </c>
      <c r="S44" s="59">
        <f>'TW-CT_JS'!N43</f>
        <v>31.11</v>
      </c>
      <c r="T44" s="59">
        <f t="shared" si="5"/>
        <v>31.11</v>
      </c>
      <c r="U44" s="59">
        <f t="shared" si="6"/>
        <v>31.11</v>
      </c>
      <c r="W44" s="59">
        <f t="shared" si="7"/>
        <v>32.99</v>
      </c>
      <c r="X44" s="59">
        <f t="shared" si="8"/>
        <v>26.74</v>
      </c>
      <c r="Y44" s="59">
        <f t="shared" si="9"/>
        <v>23.76</v>
      </c>
      <c r="Z44" s="519"/>
      <c r="AA44" s="59">
        <f t="shared" si="10"/>
        <v>35.549999999999997</v>
      </c>
      <c r="AB44" s="59">
        <f t="shared" si="10"/>
        <v>31.32</v>
      </c>
    </row>
    <row r="45" spans="1:28" ht="15" outlineLevel="1" thickBot="1">
      <c r="A45" s="54">
        <f t="shared" si="11"/>
        <v>37</v>
      </c>
      <c r="B45" s="59">
        <f>ROUND(A!$D45*1.2,2)</f>
        <v>81.88</v>
      </c>
      <c r="C45" s="59">
        <f>A!$D45</f>
        <v>68.23</v>
      </c>
      <c r="E45" s="59">
        <f>'TW-CT_JS'!D44</f>
        <v>62.22</v>
      </c>
      <c r="F45" s="59">
        <f t="shared" si="1"/>
        <v>62.22</v>
      </c>
      <c r="G45" s="59">
        <f t="shared" si="2"/>
        <v>62.22</v>
      </c>
      <c r="I45" s="59">
        <f>IF(ROUND(ROUND(('Loonschijven_Tranches salariale'!$Q44*0.6),4)*$Y$1,2)&lt;I$8,I$8,IF('Loonschijven_Tranches salariale'!$Q44&lt;Basisbedragen!$C$28,ROUND(ROUND(('Loonschijven_Tranches salariale'!$Q44*0.6),4)*$Y$1,2),ROUND(ROUND((Basisbedragen!$C$28*0.6),4)*$Y$1,2)))</f>
        <v>65.97</v>
      </c>
      <c r="J45" s="59">
        <f>IF(ROUND(ROUND(('Loonschijven_Tranches salariale'!$Q44*0.6),4)*$Y$1,2)&lt;J$8,J$8,IF('Loonschijven_Tranches salariale'!$Q44&lt;Basisbedragen!$C$28,ROUND(ROUND(('Loonschijven_Tranches salariale'!$Q44*0.6),4)*$Y$1,2),ROUND(ROUND((Basisbedragen!$C$28*0.6),4)*$Y$1,2)))</f>
        <v>53.47</v>
      </c>
      <c r="K45" s="505">
        <f>IF(ROUND(ROUND(('Loonschijven_Tranches salariale'!$Q44*0.6),4)*$Y$1,2)&lt;K$8,K$8,IF('Loonschijven_Tranches salariale'!$Q44&lt;Basisbedragen!$C$28,ROUND(ROUND(('Loonschijven_Tranches salariale'!$Q44*0.6),4)*$Y$1,2),ROUND(ROUND((Basisbedragen!$C$28*0.6),4)*$Y$1,2)))</f>
        <v>47.51</v>
      </c>
      <c r="L45" s="519"/>
      <c r="M45" s="59">
        <f>IF(ROUND(ROUND(('Loonschijven_Tranches salariale'!$Q44*0.6),4)*$Y$1,2)&lt;M$8,M$8,IF('Loonschijven_Tranches salariale'!$Q44&lt;Basisbedragen!$C$24,ROUND(ROUND(('Loonschijven_Tranches salariale'!$Q44*0.6),4)*$Y$1,2),ROUND(ROUND((Basisbedragen!$C$24*0.6),4)*$Y$1,2)))</f>
        <v>71.099999999999994</v>
      </c>
      <c r="N45" s="59">
        <f>IF(ROUND(ROUND(('Loonschijven_Tranches salariale'!$Q44*0.6),4)*$Y$1,2)&lt;N$8,N$8,IF('Loonschijven_Tranches salariale'!$Q44&lt;Basisbedragen!$C$24,ROUND(ROUND(('Loonschijven_Tranches salariale'!$Q44*0.6),4)*$Y$1,2),ROUND(ROUND((Basisbedragen!$C$24*0.6),4)*$Y$1,2)))</f>
        <v>62.64</v>
      </c>
      <c r="P45" s="59">
        <f t="shared" si="3"/>
        <v>40.94</v>
      </c>
      <c r="Q45" s="59">
        <f t="shared" si="4"/>
        <v>34.119999999999997</v>
      </c>
      <c r="S45" s="59">
        <f>'TW-CT_JS'!N44</f>
        <v>31.11</v>
      </c>
      <c r="T45" s="59">
        <f t="shared" si="5"/>
        <v>31.11</v>
      </c>
      <c r="U45" s="59">
        <f t="shared" si="6"/>
        <v>31.11</v>
      </c>
      <c r="W45" s="59">
        <f t="shared" si="7"/>
        <v>32.99</v>
      </c>
      <c r="X45" s="59">
        <f t="shared" si="8"/>
        <v>26.74</v>
      </c>
      <c r="Y45" s="59">
        <f t="shared" si="9"/>
        <v>23.76</v>
      </c>
      <c r="Z45" s="519"/>
      <c r="AA45" s="59">
        <f t="shared" si="10"/>
        <v>35.549999999999997</v>
      </c>
      <c r="AB45" s="59">
        <f t="shared" si="10"/>
        <v>31.32</v>
      </c>
    </row>
    <row r="46" spans="1:28" ht="15" outlineLevel="1" thickBot="1">
      <c r="A46" s="54">
        <f t="shared" si="11"/>
        <v>38</v>
      </c>
      <c r="B46" s="59">
        <f>ROUND(A!$D46*1.2,2)</f>
        <v>81.88</v>
      </c>
      <c r="C46" s="59">
        <f>A!$D46</f>
        <v>68.23</v>
      </c>
      <c r="E46" s="59">
        <f>'TW-CT_JS'!D45</f>
        <v>62.22</v>
      </c>
      <c r="F46" s="59">
        <f t="shared" si="1"/>
        <v>62.22</v>
      </c>
      <c r="G46" s="59">
        <f t="shared" si="2"/>
        <v>62.22</v>
      </c>
      <c r="I46" s="59">
        <f>IF(ROUND(ROUND(('Loonschijven_Tranches salariale'!$Q45*0.6),4)*$Y$1,2)&lt;I$8,I$8,IF('Loonschijven_Tranches salariale'!$Q45&lt;Basisbedragen!$C$28,ROUND(ROUND(('Loonschijven_Tranches salariale'!$Q45*0.6),4)*$Y$1,2),ROUND(ROUND((Basisbedragen!$C$28*0.6),4)*$Y$1,2)))</f>
        <v>65.97</v>
      </c>
      <c r="J46" s="59">
        <f>IF(ROUND(ROUND(('Loonschijven_Tranches salariale'!$Q45*0.6),4)*$Y$1,2)&lt;J$8,J$8,IF('Loonschijven_Tranches salariale'!$Q45&lt;Basisbedragen!$C$28,ROUND(ROUND(('Loonschijven_Tranches salariale'!$Q45*0.6),4)*$Y$1,2),ROUND(ROUND((Basisbedragen!$C$28*0.6),4)*$Y$1,2)))</f>
        <v>53.47</v>
      </c>
      <c r="K46" s="505">
        <f>IF(ROUND(ROUND(('Loonschijven_Tranches salariale'!$Q45*0.6),4)*$Y$1,2)&lt;K$8,K$8,IF('Loonschijven_Tranches salariale'!$Q45&lt;Basisbedragen!$C$28,ROUND(ROUND(('Loonschijven_Tranches salariale'!$Q45*0.6),4)*$Y$1,2),ROUND(ROUND((Basisbedragen!$C$28*0.6),4)*$Y$1,2)))</f>
        <v>47.51</v>
      </c>
      <c r="L46" s="519"/>
      <c r="M46" s="59">
        <f>IF(ROUND(ROUND(('Loonschijven_Tranches salariale'!$Q45*0.6),4)*$Y$1,2)&lt;M$8,M$8,IF('Loonschijven_Tranches salariale'!$Q45&lt;Basisbedragen!$C$24,ROUND(ROUND(('Loonschijven_Tranches salariale'!$Q45*0.6),4)*$Y$1,2),ROUND(ROUND((Basisbedragen!$C$24*0.6),4)*$Y$1,2)))</f>
        <v>71.099999999999994</v>
      </c>
      <c r="N46" s="59">
        <f>IF(ROUND(ROUND(('Loonschijven_Tranches salariale'!$Q45*0.6),4)*$Y$1,2)&lt;N$8,N$8,IF('Loonschijven_Tranches salariale'!$Q45&lt;Basisbedragen!$C$24,ROUND(ROUND(('Loonschijven_Tranches salariale'!$Q45*0.6),4)*$Y$1,2),ROUND(ROUND((Basisbedragen!$C$24*0.6),4)*$Y$1,2)))</f>
        <v>62.64</v>
      </c>
      <c r="P46" s="59">
        <f t="shared" si="3"/>
        <v>40.94</v>
      </c>
      <c r="Q46" s="59">
        <f t="shared" si="4"/>
        <v>34.119999999999997</v>
      </c>
      <c r="S46" s="59">
        <f>'TW-CT_JS'!N45</f>
        <v>31.11</v>
      </c>
      <c r="T46" s="59">
        <f t="shared" si="5"/>
        <v>31.11</v>
      </c>
      <c r="U46" s="59">
        <f t="shared" si="6"/>
        <v>31.11</v>
      </c>
      <c r="W46" s="59">
        <f t="shared" si="7"/>
        <v>32.99</v>
      </c>
      <c r="X46" s="59">
        <f t="shared" si="8"/>
        <v>26.74</v>
      </c>
      <c r="Y46" s="59">
        <f t="shared" si="9"/>
        <v>23.76</v>
      </c>
      <c r="Z46" s="519"/>
      <c r="AA46" s="59">
        <f t="shared" si="10"/>
        <v>35.549999999999997</v>
      </c>
      <c r="AB46" s="59">
        <f t="shared" si="10"/>
        <v>31.32</v>
      </c>
    </row>
    <row r="47" spans="1:28" ht="15" outlineLevel="1" thickBot="1">
      <c r="A47" s="54">
        <f t="shared" si="11"/>
        <v>39</v>
      </c>
      <c r="B47" s="59">
        <f>ROUND(A!$D47*1.2,2)</f>
        <v>81.88</v>
      </c>
      <c r="C47" s="59">
        <f>A!$D47</f>
        <v>68.23</v>
      </c>
      <c r="E47" s="59">
        <f>'TW-CT_JS'!D46</f>
        <v>62.22</v>
      </c>
      <c r="F47" s="59">
        <f t="shared" si="1"/>
        <v>62.22</v>
      </c>
      <c r="G47" s="59">
        <f t="shared" si="2"/>
        <v>62.22</v>
      </c>
      <c r="I47" s="59">
        <f>IF(ROUND(ROUND(('Loonschijven_Tranches salariale'!$Q46*0.6),4)*$Y$1,2)&lt;I$8,I$8,IF('Loonschijven_Tranches salariale'!$Q46&lt;Basisbedragen!$C$28,ROUND(ROUND(('Loonschijven_Tranches salariale'!$Q46*0.6),4)*$Y$1,2),ROUND(ROUND((Basisbedragen!$C$28*0.6),4)*$Y$1,2)))</f>
        <v>65.97</v>
      </c>
      <c r="J47" s="59">
        <f>IF(ROUND(ROUND(('Loonschijven_Tranches salariale'!$Q46*0.6),4)*$Y$1,2)&lt;J$8,J$8,IF('Loonschijven_Tranches salariale'!$Q46&lt;Basisbedragen!$C$28,ROUND(ROUND(('Loonschijven_Tranches salariale'!$Q46*0.6),4)*$Y$1,2),ROUND(ROUND((Basisbedragen!$C$28*0.6),4)*$Y$1,2)))</f>
        <v>53.47</v>
      </c>
      <c r="K47" s="505">
        <f>IF(ROUND(ROUND(('Loonschijven_Tranches salariale'!$Q46*0.6),4)*$Y$1,2)&lt;K$8,K$8,IF('Loonschijven_Tranches salariale'!$Q46&lt;Basisbedragen!$C$28,ROUND(ROUND(('Loonschijven_Tranches salariale'!$Q46*0.6),4)*$Y$1,2),ROUND(ROUND((Basisbedragen!$C$28*0.6),4)*$Y$1,2)))</f>
        <v>47.51</v>
      </c>
      <c r="L47" s="519"/>
      <c r="M47" s="59">
        <f>IF(ROUND(ROUND(('Loonschijven_Tranches salariale'!$Q46*0.6),4)*$Y$1,2)&lt;M$8,M$8,IF('Loonschijven_Tranches salariale'!$Q46&lt;Basisbedragen!$C$24,ROUND(ROUND(('Loonschijven_Tranches salariale'!$Q46*0.6),4)*$Y$1,2),ROUND(ROUND((Basisbedragen!$C$24*0.6),4)*$Y$1,2)))</f>
        <v>71.099999999999994</v>
      </c>
      <c r="N47" s="59">
        <f>IF(ROUND(ROUND(('Loonschijven_Tranches salariale'!$Q46*0.6),4)*$Y$1,2)&lt;N$8,N$8,IF('Loonschijven_Tranches salariale'!$Q46&lt;Basisbedragen!$C$24,ROUND(ROUND(('Loonschijven_Tranches salariale'!$Q46*0.6),4)*$Y$1,2),ROUND(ROUND((Basisbedragen!$C$24*0.6),4)*$Y$1,2)))</f>
        <v>62.64</v>
      </c>
      <c r="P47" s="59">
        <f t="shared" si="3"/>
        <v>40.94</v>
      </c>
      <c r="Q47" s="59">
        <f t="shared" si="4"/>
        <v>34.119999999999997</v>
      </c>
      <c r="S47" s="59">
        <f>'TW-CT_JS'!N46</f>
        <v>31.11</v>
      </c>
      <c r="T47" s="59">
        <f t="shared" si="5"/>
        <v>31.11</v>
      </c>
      <c r="U47" s="59">
        <f t="shared" si="6"/>
        <v>31.11</v>
      </c>
      <c r="W47" s="59">
        <f t="shared" si="7"/>
        <v>32.99</v>
      </c>
      <c r="X47" s="59">
        <f t="shared" si="8"/>
        <v>26.74</v>
      </c>
      <c r="Y47" s="59">
        <f t="shared" si="9"/>
        <v>23.76</v>
      </c>
      <c r="Z47" s="519"/>
      <c r="AA47" s="59">
        <f t="shared" si="10"/>
        <v>35.549999999999997</v>
      </c>
      <c r="AB47" s="59">
        <f t="shared" si="10"/>
        <v>31.32</v>
      </c>
    </row>
    <row r="48" spans="1:28" ht="15" thickBot="1">
      <c r="A48" s="54">
        <f t="shared" si="11"/>
        <v>40</v>
      </c>
      <c r="B48" s="59">
        <f>ROUND(A!$D48*1.2,2)</f>
        <v>81.88</v>
      </c>
      <c r="C48" s="59">
        <f>A!$D48</f>
        <v>68.23</v>
      </c>
      <c r="E48" s="59">
        <f>'TW-CT_JS'!D47</f>
        <v>62.22</v>
      </c>
      <c r="F48" s="59">
        <f t="shared" si="1"/>
        <v>62.22</v>
      </c>
      <c r="G48" s="59">
        <f t="shared" si="2"/>
        <v>62.22</v>
      </c>
      <c r="I48" s="59">
        <f>IF(ROUND(ROUND(('Loonschijven_Tranches salariale'!$Q47*0.6),4)*$Y$1,2)&lt;I$8,I$8,IF('Loonschijven_Tranches salariale'!$Q47&lt;Basisbedragen!$C$28,ROUND(ROUND(('Loonschijven_Tranches salariale'!$Q47*0.6),4)*$Y$1,2),ROUND(ROUND((Basisbedragen!$C$28*0.6),4)*$Y$1,2)))</f>
        <v>65.97</v>
      </c>
      <c r="J48" s="59">
        <f>IF(ROUND(ROUND(('Loonschijven_Tranches salariale'!$Q47*0.6),4)*$Y$1,2)&lt;J$8,J$8,IF('Loonschijven_Tranches salariale'!$Q47&lt;Basisbedragen!$C$28,ROUND(ROUND(('Loonschijven_Tranches salariale'!$Q47*0.6),4)*$Y$1,2),ROUND(ROUND((Basisbedragen!$C$28*0.6),4)*$Y$1,2)))</f>
        <v>53.47</v>
      </c>
      <c r="K48" s="59">
        <f>IF(ROUND(ROUND(('Loonschijven_Tranches salariale'!$Q47*0.6),4)*$Y$1,2)&lt;K$8,K$8,IF('Loonschijven_Tranches salariale'!$Q47&lt;Basisbedragen!$C$28,ROUND(ROUND(('Loonschijven_Tranches salariale'!$Q47*0.6),4)*$Y$1,2),ROUND(ROUND((Basisbedragen!$C$28*0.6),4)*$Y$1,2)))</f>
        <v>47.51</v>
      </c>
      <c r="L48"/>
      <c r="M48" s="59">
        <f>IF(ROUND(ROUND(('Loonschijven_Tranches salariale'!$Q47*0.6),4)*$Y$1,2)&lt;M$8,M$8,IF('Loonschijven_Tranches salariale'!$Q47&lt;Basisbedragen!$C$24,ROUND(ROUND(('Loonschijven_Tranches salariale'!$Q47*0.6),4)*$Y$1,2),ROUND(ROUND((Basisbedragen!$C$24*0.6),4)*$Y$1,2)))</f>
        <v>71.099999999999994</v>
      </c>
      <c r="N48" s="59">
        <f>IF(ROUND(ROUND(('Loonschijven_Tranches salariale'!$Q47*0.6),4)*$Y$1,2)&lt;N$8,N$8,IF('Loonschijven_Tranches salariale'!$Q47&lt;Basisbedragen!$C$24,ROUND(ROUND(('Loonschijven_Tranches salariale'!$Q47*0.6),4)*$Y$1,2),ROUND(ROUND((Basisbedragen!$C$24*0.6),4)*$Y$1,2)))</f>
        <v>62.64</v>
      </c>
      <c r="P48" s="59">
        <f t="shared" si="3"/>
        <v>40.94</v>
      </c>
      <c r="Q48" s="59">
        <f t="shared" si="4"/>
        <v>34.119999999999997</v>
      </c>
      <c r="S48" s="59">
        <f>'TW-CT_JS'!N47</f>
        <v>31.11</v>
      </c>
      <c r="T48" s="59">
        <f t="shared" si="5"/>
        <v>31.11</v>
      </c>
      <c r="U48" s="59">
        <f t="shared" si="6"/>
        <v>31.11</v>
      </c>
      <c r="W48" s="59">
        <f t="shared" si="7"/>
        <v>32.99</v>
      </c>
      <c r="X48" s="59">
        <f t="shared" si="8"/>
        <v>26.74</v>
      </c>
      <c r="Y48" s="59">
        <f t="shared" si="9"/>
        <v>23.76</v>
      </c>
      <c r="Z48"/>
      <c r="AA48" s="59">
        <f t="shared" si="10"/>
        <v>35.549999999999997</v>
      </c>
      <c r="AB48" s="59">
        <f t="shared" si="10"/>
        <v>31.32</v>
      </c>
    </row>
    <row r="49" spans="1:28" ht="15" thickBot="1">
      <c r="A49" s="54">
        <f t="shared" si="11"/>
        <v>41</v>
      </c>
      <c r="B49" s="59">
        <f>ROUND(A!$D49*1.2,2)</f>
        <v>81.88</v>
      </c>
      <c r="C49" s="59">
        <f>A!$D49</f>
        <v>68.23</v>
      </c>
      <c r="E49" s="59">
        <f>'TW-CT_JS'!D48</f>
        <v>62.22</v>
      </c>
      <c r="F49" s="59">
        <f t="shared" si="1"/>
        <v>62.22</v>
      </c>
      <c r="G49" s="59">
        <f t="shared" si="2"/>
        <v>62.22</v>
      </c>
      <c r="I49" s="59">
        <f>IF(ROUND(ROUND(('Loonschijven_Tranches salariale'!$Q48*0.6),4)*$Y$1,2)&lt;I$8,I$8,IF('Loonschijven_Tranches salariale'!$Q48&lt;Basisbedragen!$C$28,ROUND(ROUND(('Loonschijven_Tranches salariale'!$Q48*0.6),4)*$Y$1,2),ROUND(ROUND((Basisbedragen!$C$28*0.6),4)*$Y$1,2)))</f>
        <v>65.97</v>
      </c>
      <c r="J49" s="59">
        <f>IF(ROUND(ROUND(('Loonschijven_Tranches salariale'!$Q48*0.6),4)*$Y$1,2)&lt;J$8,J$8,IF('Loonschijven_Tranches salariale'!$Q48&lt;Basisbedragen!$C$28,ROUND(ROUND(('Loonschijven_Tranches salariale'!$Q48*0.6),4)*$Y$1,2),ROUND(ROUND((Basisbedragen!$C$28*0.6),4)*$Y$1,2)))</f>
        <v>53.47</v>
      </c>
      <c r="K49" s="505">
        <f>IF(ROUND(ROUND(('Loonschijven_Tranches salariale'!$Q48*0.6),4)*$Y$1,2)&lt;K$8,K$8,IF('Loonschijven_Tranches salariale'!$Q48&lt;Basisbedragen!$C$28,ROUND(ROUND(('Loonschijven_Tranches salariale'!$Q48*0.6),4)*$Y$1,2),ROUND(ROUND((Basisbedragen!$C$28*0.6),4)*$Y$1,2)))</f>
        <v>47.79</v>
      </c>
      <c r="L49" s="519"/>
      <c r="M49" s="59">
        <f>IF(ROUND(ROUND(('Loonschijven_Tranches salariale'!$Q48*0.6),4)*$Y$1,2)&lt;M$8,M$8,IF('Loonschijven_Tranches salariale'!$Q48&lt;Basisbedragen!$C$24,ROUND(ROUND(('Loonschijven_Tranches salariale'!$Q48*0.6),4)*$Y$1,2),ROUND(ROUND((Basisbedragen!$C$24*0.6),4)*$Y$1,2)))</f>
        <v>71.099999999999994</v>
      </c>
      <c r="N49" s="59">
        <f>IF(ROUND(ROUND(('Loonschijven_Tranches salariale'!$Q48*0.6),4)*$Y$1,2)&lt;N$8,N$8,IF('Loonschijven_Tranches salariale'!$Q48&lt;Basisbedragen!$C$24,ROUND(ROUND(('Loonschijven_Tranches salariale'!$Q48*0.6),4)*$Y$1,2),ROUND(ROUND((Basisbedragen!$C$24*0.6),4)*$Y$1,2)))</f>
        <v>62.64</v>
      </c>
      <c r="P49" s="59">
        <f t="shared" si="3"/>
        <v>40.94</v>
      </c>
      <c r="Q49" s="59">
        <f t="shared" si="4"/>
        <v>34.119999999999997</v>
      </c>
      <c r="S49" s="59">
        <f>'TW-CT_JS'!N48</f>
        <v>31.11</v>
      </c>
      <c r="T49" s="59">
        <f t="shared" si="5"/>
        <v>31.11</v>
      </c>
      <c r="U49" s="59">
        <f t="shared" si="6"/>
        <v>31.11</v>
      </c>
      <c r="W49" s="59">
        <f t="shared" si="7"/>
        <v>32.99</v>
      </c>
      <c r="X49" s="59">
        <f t="shared" si="8"/>
        <v>26.74</v>
      </c>
      <c r="Y49" s="59">
        <f t="shared" si="9"/>
        <v>23.9</v>
      </c>
      <c r="Z49" s="519"/>
      <c r="AA49" s="59">
        <f t="shared" si="10"/>
        <v>35.549999999999997</v>
      </c>
      <c r="AB49" s="59">
        <f t="shared" si="10"/>
        <v>31.32</v>
      </c>
    </row>
    <row r="50" spans="1:28" ht="15" thickBot="1">
      <c r="A50" s="54">
        <f t="shared" si="11"/>
        <v>42</v>
      </c>
      <c r="B50" s="59">
        <f>ROUND(A!$D50*1.2,2)</f>
        <v>81.88</v>
      </c>
      <c r="C50" s="59">
        <f>A!$D50</f>
        <v>68.23</v>
      </c>
      <c r="E50" s="59">
        <f>'TW-CT_JS'!D49</f>
        <v>62.22</v>
      </c>
      <c r="F50" s="59">
        <f t="shared" si="1"/>
        <v>62.22</v>
      </c>
      <c r="G50" s="59">
        <f t="shared" si="2"/>
        <v>62.22</v>
      </c>
      <c r="I50" s="59">
        <f>IF(ROUND(ROUND(('Loonschijven_Tranches salariale'!$Q49*0.6),4)*$Y$1,2)&lt;I$8,I$8,IF('Loonschijven_Tranches salariale'!$Q49&lt;Basisbedragen!$C$28,ROUND(ROUND(('Loonschijven_Tranches salariale'!$Q49*0.6),4)*$Y$1,2),ROUND(ROUND((Basisbedragen!$C$28*0.6),4)*$Y$1,2)))</f>
        <v>65.97</v>
      </c>
      <c r="J50" s="59">
        <f>IF(ROUND(ROUND(('Loonschijven_Tranches salariale'!$Q49*0.6),4)*$Y$1,2)&lt;J$8,J$8,IF('Loonschijven_Tranches salariale'!$Q49&lt;Basisbedragen!$C$28,ROUND(ROUND(('Loonschijven_Tranches salariale'!$Q49*0.6),4)*$Y$1,2),ROUND(ROUND((Basisbedragen!$C$28*0.6),4)*$Y$1,2)))</f>
        <v>53.47</v>
      </c>
      <c r="K50" s="505">
        <f>IF(ROUND(ROUND(('Loonschijven_Tranches salariale'!$Q49*0.6),4)*$Y$1,2)&lt;K$8,K$8,IF('Loonschijven_Tranches salariale'!$Q49&lt;Basisbedragen!$C$28,ROUND(ROUND(('Loonschijven_Tranches salariale'!$Q49*0.6),4)*$Y$1,2),ROUND(ROUND((Basisbedragen!$C$28*0.6),4)*$Y$1,2)))</f>
        <v>48.69</v>
      </c>
      <c r="L50" s="519"/>
      <c r="M50" s="59">
        <f>IF(ROUND(ROUND(('Loonschijven_Tranches salariale'!$Q49*0.6),4)*$Y$1,2)&lt;M$8,M$8,IF('Loonschijven_Tranches salariale'!$Q49&lt;Basisbedragen!$C$24,ROUND(ROUND(('Loonschijven_Tranches salariale'!$Q49*0.6),4)*$Y$1,2),ROUND(ROUND((Basisbedragen!$C$24*0.6),4)*$Y$1,2)))</f>
        <v>71.099999999999994</v>
      </c>
      <c r="N50" s="59">
        <f>IF(ROUND(ROUND(('Loonschijven_Tranches salariale'!$Q49*0.6),4)*$Y$1,2)&lt;N$8,N$8,IF('Loonschijven_Tranches salariale'!$Q49&lt;Basisbedragen!$C$24,ROUND(ROUND(('Loonschijven_Tranches salariale'!$Q49*0.6),4)*$Y$1,2),ROUND(ROUND((Basisbedragen!$C$24*0.6),4)*$Y$1,2)))</f>
        <v>62.64</v>
      </c>
      <c r="P50" s="59">
        <f t="shared" si="3"/>
        <v>40.94</v>
      </c>
      <c r="Q50" s="59">
        <f t="shared" si="4"/>
        <v>34.119999999999997</v>
      </c>
      <c r="S50" s="59">
        <f>'TW-CT_JS'!N49</f>
        <v>31.11</v>
      </c>
      <c r="T50" s="59">
        <f t="shared" si="5"/>
        <v>31.11</v>
      </c>
      <c r="U50" s="59">
        <f t="shared" si="6"/>
        <v>31.11</v>
      </c>
      <c r="W50" s="59">
        <f t="shared" si="7"/>
        <v>32.99</v>
      </c>
      <c r="X50" s="59">
        <f t="shared" si="8"/>
        <v>26.74</v>
      </c>
      <c r="Y50" s="59">
        <f t="shared" si="9"/>
        <v>24.35</v>
      </c>
      <c r="Z50" s="519"/>
      <c r="AA50" s="59">
        <f t="shared" si="10"/>
        <v>35.549999999999997</v>
      </c>
      <c r="AB50" s="59">
        <f t="shared" si="10"/>
        <v>31.32</v>
      </c>
    </row>
    <row r="51" spans="1:28" ht="15" thickBot="1">
      <c r="A51" s="54">
        <f t="shared" si="11"/>
        <v>43</v>
      </c>
      <c r="B51" s="59">
        <f>ROUND(A!$D51*1.2,2)</f>
        <v>81.88</v>
      </c>
      <c r="C51" s="59">
        <f>A!$D51</f>
        <v>68.23</v>
      </c>
      <c r="E51" s="59">
        <f>'TW-CT_JS'!D50</f>
        <v>62.22</v>
      </c>
      <c r="F51" s="59">
        <f t="shared" si="1"/>
        <v>62.22</v>
      </c>
      <c r="G51" s="59">
        <f t="shared" si="2"/>
        <v>62.22</v>
      </c>
      <c r="I51" s="59">
        <f>IF(ROUND(ROUND(('Loonschijven_Tranches salariale'!$Q50*0.6),4)*$Y$1,2)&lt;I$8,I$8,IF('Loonschijven_Tranches salariale'!$Q50&lt;Basisbedragen!$C$28,ROUND(ROUND(('Loonschijven_Tranches salariale'!$Q50*0.6),4)*$Y$1,2),ROUND(ROUND((Basisbedragen!$C$28*0.6),4)*$Y$1,2)))</f>
        <v>65.97</v>
      </c>
      <c r="J51" s="59">
        <f>IF(ROUND(ROUND(('Loonschijven_Tranches salariale'!$Q50*0.6),4)*$Y$1,2)&lt;J$8,J$8,IF('Loonschijven_Tranches salariale'!$Q50&lt;Basisbedragen!$C$28,ROUND(ROUND(('Loonschijven_Tranches salariale'!$Q50*0.6),4)*$Y$1,2),ROUND(ROUND((Basisbedragen!$C$28*0.6),4)*$Y$1,2)))</f>
        <v>53.47</v>
      </c>
      <c r="K51" s="505">
        <f>IF(ROUND(ROUND(('Loonschijven_Tranches salariale'!$Q50*0.6),4)*$Y$1,2)&lt;K$8,K$8,IF('Loonschijven_Tranches salariale'!$Q50&lt;Basisbedragen!$C$28,ROUND(ROUND(('Loonschijven_Tranches salariale'!$Q50*0.6),4)*$Y$1,2),ROUND(ROUND((Basisbedragen!$C$28*0.6),4)*$Y$1,2)))</f>
        <v>49.59</v>
      </c>
      <c r="L51" s="519"/>
      <c r="M51" s="59">
        <f>IF(ROUND(ROUND(('Loonschijven_Tranches salariale'!$Q50*0.6),4)*$Y$1,2)&lt;M$8,M$8,IF('Loonschijven_Tranches salariale'!$Q50&lt;Basisbedragen!$C$24,ROUND(ROUND(('Loonschijven_Tranches salariale'!$Q50*0.6),4)*$Y$1,2),ROUND(ROUND((Basisbedragen!$C$24*0.6),4)*$Y$1,2)))</f>
        <v>71.099999999999994</v>
      </c>
      <c r="N51" s="59">
        <f>IF(ROUND(ROUND(('Loonschijven_Tranches salariale'!$Q50*0.6),4)*$Y$1,2)&lt;N$8,N$8,IF('Loonschijven_Tranches salariale'!$Q50&lt;Basisbedragen!$C$24,ROUND(ROUND(('Loonschijven_Tranches salariale'!$Q50*0.6),4)*$Y$1,2),ROUND(ROUND((Basisbedragen!$C$24*0.6),4)*$Y$1,2)))</f>
        <v>62.64</v>
      </c>
      <c r="P51" s="59">
        <f t="shared" si="3"/>
        <v>40.94</v>
      </c>
      <c r="Q51" s="59">
        <f t="shared" si="4"/>
        <v>34.119999999999997</v>
      </c>
      <c r="S51" s="59">
        <f>'TW-CT_JS'!N50</f>
        <v>31.11</v>
      </c>
      <c r="T51" s="59">
        <f t="shared" si="5"/>
        <v>31.11</v>
      </c>
      <c r="U51" s="59">
        <f t="shared" si="6"/>
        <v>31.11</v>
      </c>
      <c r="W51" s="59">
        <f t="shared" si="7"/>
        <v>32.99</v>
      </c>
      <c r="X51" s="59">
        <f t="shared" si="8"/>
        <v>26.74</v>
      </c>
      <c r="Y51" s="59">
        <f t="shared" si="9"/>
        <v>24.8</v>
      </c>
      <c r="Z51" s="519"/>
      <c r="AA51" s="59">
        <f t="shared" si="10"/>
        <v>35.549999999999997</v>
      </c>
      <c r="AB51" s="59">
        <f t="shared" si="10"/>
        <v>31.32</v>
      </c>
    </row>
    <row r="52" spans="1:28" ht="15" thickBot="1">
      <c r="A52" s="54">
        <f t="shared" si="11"/>
        <v>44</v>
      </c>
      <c r="B52" s="59">
        <f>ROUND(A!$D52*1.2,2)</f>
        <v>81.88</v>
      </c>
      <c r="C52" s="59">
        <f>A!$D52</f>
        <v>68.23</v>
      </c>
      <c r="E52" s="59">
        <f>'TW-CT_JS'!D51</f>
        <v>62.22</v>
      </c>
      <c r="F52" s="59">
        <f t="shared" si="1"/>
        <v>62.22</v>
      </c>
      <c r="G52" s="59">
        <f t="shared" si="2"/>
        <v>62.22</v>
      </c>
      <c r="I52" s="59">
        <f>IF(ROUND(ROUND(('Loonschijven_Tranches salariale'!$Q51*0.6),4)*$Y$1,2)&lt;I$8,I$8,IF('Loonschijven_Tranches salariale'!$Q51&lt;Basisbedragen!$C$28,ROUND(ROUND(('Loonschijven_Tranches salariale'!$Q51*0.6),4)*$Y$1,2),ROUND(ROUND((Basisbedragen!$C$28*0.6),4)*$Y$1,2)))</f>
        <v>65.97</v>
      </c>
      <c r="J52" s="59">
        <f>IF(ROUND(ROUND(('Loonschijven_Tranches salariale'!$Q51*0.6),4)*$Y$1,2)&lt;J$8,J$8,IF('Loonschijven_Tranches salariale'!$Q51&lt;Basisbedragen!$C$28,ROUND(ROUND(('Loonschijven_Tranches salariale'!$Q51*0.6),4)*$Y$1,2),ROUND(ROUND((Basisbedragen!$C$28*0.6),4)*$Y$1,2)))</f>
        <v>53.47</v>
      </c>
      <c r="K52" s="505">
        <f>IF(ROUND(ROUND(('Loonschijven_Tranches salariale'!$Q51*0.6),4)*$Y$1,2)&lt;K$8,K$8,IF('Loonschijven_Tranches salariale'!$Q51&lt;Basisbedragen!$C$28,ROUND(ROUND(('Loonschijven_Tranches salariale'!$Q51*0.6),4)*$Y$1,2),ROUND(ROUND((Basisbedragen!$C$28*0.6),4)*$Y$1,2)))</f>
        <v>50.49</v>
      </c>
      <c r="L52" s="519"/>
      <c r="M52" s="59">
        <f>IF(ROUND(ROUND(('Loonschijven_Tranches salariale'!$Q51*0.6),4)*$Y$1,2)&lt;M$8,M$8,IF('Loonschijven_Tranches salariale'!$Q51&lt;Basisbedragen!$C$24,ROUND(ROUND(('Loonschijven_Tranches salariale'!$Q51*0.6),4)*$Y$1,2),ROUND(ROUND((Basisbedragen!$C$24*0.6),4)*$Y$1,2)))</f>
        <v>71.099999999999994</v>
      </c>
      <c r="N52" s="59">
        <f>IF(ROUND(ROUND(('Loonschijven_Tranches salariale'!$Q51*0.6),4)*$Y$1,2)&lt;N$8,N$8,IF('Loonschijven_Tranches salariale'!$Q51&lt;Basisbedragen!$C$24,ROUND(ROUND(('Loonschijven_Tranches salariale'!$Q51*0.6),4)*$Y$1,2),ROUND(ROUND((Basisbedragen!$C$24*0.6),4)*$Y$1,2)))</f>
        <v>62.64</v>
      </c>
      <c r="P52" s="59">
        <f t="shared" si="3"/>
        <v>40.94</v>
      </c>
      <c r="Q52" s="59">
        <f t="shared" si="4"/>
        <v>34.119999999999997</v>
      </c>
      <c r="S52" s="59">
        <f>'TW-CT_JS'!N51</f>
        <v>31.11</v>
      </c>
      <c r="T52" s="59">
        <f t="shared" si="5"/>
        <v>31.11</v>
      </c>
      <c r="U52" s="59">
        <f t="shared" si="6"/>
        <v>31.11</v>
      </c>
      <c r="W52" s="59">
        <f t="shared" si="7"/>
        <v>32.99</v>
      </c>
      <c r="X52" s="59">
        <f t="shared" si="8"/>
        <v>26.74</v>
      </c>
      <c r="Y52" s="59">
        <f t="shared" si="9"/>
        <v>25.25</v>
      </c>
      <c r="Z52" s="519"/>
      <c r="AA52" s="59">
        <f t="shared" si="10"/>
        <v>35.549999999999997</v>
      </c>
      <c r="AB52" s="59">
        <f t="shared" si="10"/>
        <v>31.32</v>
      </c>
    </row>
    <row r="53" spans="1:28" ht="15" thickBot="1">
      <c r="A53" s="54">
        <f t="shared" si="11"/>
        <v>45</v>
      </c>
      <c r="B53" s="59">
        <f>ROUND(A!$D53*1.2,2)</f>
        <v>81.88</v>
      </c>
      <c r="C53" s="59">
        <f>A!$D53</f>
        <v>68.23</v>
      </c>
      <c r="E53" s="59">
        <f>'TW-CT_JS'!D52</f>
        <v>62.22</v>
      </c>
      <c r="F53" s="59">
        <f t="shared" si="1"/>
        <v>62.22</v>
      </c>
      <c r="G53" s="59">
        <f t="shared" si="2"/>
        <v>62.22</v>
      </c>
      <c r="I53" s="59">
        <f>IF(ROUND(ROUND(('Loonschijven_Tranches salariale'!$Q52*0.6),4)*$Y$1,2)&lt;I$8,I$8,IF('Loonschijven_Tranches salariale'!$Q52&lt;Basisbedragen!$C$28,ROUND(ROUND(('Loonschijven_Tranches salariale'!$Q52*0.6),4)*$Y$1,2),ROUND(ROUND((Basisbedragen!$C$28*0.6),4)*$Y$1,2)))</f>
        <v>65.97</v>
      </c>
      <c r="J53" s="59">
        <f>IF(ROUND(ROUND(('Loonschijven_Tranches salariale'!$Q52*0.6),4)*$Y$1,2)&lt;J$8,J$8,IF('Loonschijven_Tranches salariale'!$Q52&lt;Basisbedragen!$C$28,ROUND(ROUND(('Loonschijven_Tranches salariale'!$Q52*0.6),4)*$Y$1,2),ROUND(ROUND((Basisbedragen!$C$28*0.6),4)*$Y$1,2)))</f>
        <v>53.47</v>
      </c>
      <c r="K53" s="59">
        <f>IF(ROUND(ROUND(('Loonschijven_Tranches salariale'!$Q52*0.6),4)*$Y$1,2)&lt;K$8,K$8,IF('Loonschijven_Tranches salariale'!$Q52&lt;Basisbedragen!$C$28,ROUND(ROUND(('Loonschijven_Tranches salariale'!$Q52*0.6),4)*$Y$1,2),ROUND(ROUND((Basisbedragen!$C$28*0.6),4)*$Y$1,2)))</f>
        <v>51.39</v>
      </c>
      <c r="L53"/>
      <c r="M53" s="59">
        <f>IF(ROUND(ROUND(('Loonschijven_Tranches salariale'!$Q52*0.6),4)*$Y$1,2)&lt;M$8,M$8,IF('Loonschijven_Tranches salariale'!$Q52&lt;Basisbedragen!$C$24,ROUND(ROUND(('Loonschijven_Tranches salariale'!$Q52*0.6),4)*$Y$1,2),ROUND(ROUND((Basisbedragen!$C$24*0.6),4)*$Y$1,2)))</f>
        <v>71.099999999999994</v>
      </c>
      <c r="N53" s="59">
        <f>IF(ROUND(ROUND(('Loonschijven_Tranches salariale'!$Q52*0.6),4)*$Y$1,2)&lt;N$8,N$8,IF('Loonschijven_Tranches salariale'!$Q52&lt;Basisbedragen!$C$24,ROUND(ROUND(('Loonschijven_Tranches salariale'!$Q52*0.6),4)*$Y$1,2),ROUND(ROUND((Basisbedragen!$C$24*0.6),4)*$Y$1,2)))</f>
        <v>62.64</v>
      </c>
      <c r="P53" s="59">
        <f t="shared" si="3"/>
        <v>40.94</v>
      </c>
      <c r="Q53" s="59">
        <f t="shared" si="4"/>
        <v>34.119999999999997</v>
      </c>
      <c r="S53" s="59">
        <f>'TW-CT_JS'!N52</f>
        <v>31.11</v>
      </c>
      <c r="T53" s="59">
        <f t="shared" si="5"/>
        <v>31.11</v>
      </c>
      <c r="U53" s="59">
        <f t="shared" si="6"/>
        <v>31.11</v>
      </c>
      <c r="W53" s="59">
        <f t="shared" si="7"/>
        <v>32.99</v>
      </c>
      <c r="X53" s="59">
        <f t="shared" si="8"/>
        <v>26.74</v>
      </c>
      <c r="Y53" s="59">
        <f t="shared" si="9"/>
        <v>25.7</v>
      </c>
      <c r="Z53"/>
      <c r="AA53" s="59">
        <f t="shared" si="10"/>
        <v>35.549999999999997</v>
      </c>
      <c r="AB53" s="59">
        <f t="shared" si="10"/>
        <v>31.32</v>
      </c>
    </row>
    <row r="54" spans="1:28" ht="15" thickBot="1">
      <c r="A54" s="54">
        <f t="shared" si="11"/>
        <v>46</v>
      </c>
      <c r="B54" s="59">
        <f>ROUND(A!$D54*1.2,2)</f>
        <v>81.88</v>
      </c>
      <c r="C54" s="59">
        <f>A!$D54</f>
        <v>68.23</v>
      </c>
      <c r="E54" s="59">
        <f>'TW-CT_JS'!D53</f>
        <v>62.22</v>
      </c>
      <c r="F54" s="59">
        <f t="shared" si="1"/>
        <v>62.22</v>
      </c>
      <c r="G54" s="59">
        <f t="shared" si="2"/>
        <v>62.22</v>
      </c>
      <c r="I54" s="59">
        <f>IF(ROUND(ROUND(('Loonschijven_Tranches salariale'!$Q53*0.6),4)*$Y$1,2)&lt;I$8,I$8,IF('Loonschijven_Tranches salariale'!$Q53&lt;Basisbedragen!$C$28,ROUND(ROUND(('Loonschijven_Tranches salariale'!$Q53*0.6),4)*$Y$1,2),ROUND(ROUND((Basisbedragen!$C$28*0.6),4)*$Y$1,2)))</f>
        <v>65.97</v>
      </c>
      <c r="J54" s="59">
        <f>IF(ROUND(ROUND(('Loonschijven_Tranches salariale'!$Q53*0.6),4)*$Y$1,2)&lt;J$8,J$8,IF('Loonschijven_Tranches salariale'!$Q53&lt;Basisbedragen!$C$28,ROUND(ROUND(('Loonschijven_Tranches salariale'!$Q53*0.6),4)*$Y$1,2),ROUND(ROUND((Basisbedragen!$C$28*0.6),4)*$Y$1,2)))</f>
        <v>53.47</v>
      </c>
      <c r="K54" s="505">
        <f>IF(ROUND(ROUND(('Loonschijven_Tranches salariale'!$Q53*0.6),4)*$Y$1,2)&lt;K$8,K$8,IF('Loonschijven_Tranches salariale'!$Q53&lt;Basisbedragen!$C$28,ROUND(ROUND(('Loonschijven_Tranches salariale'!$Q53*0.6),4)*$Y$1,2),ROUND(ROUND((Basisbedragen!$C$28*0.6),4)*$Y$1,2)))</f>
        <v>52.3</v>
      </c>
      <c r="L54" s="519"/>
      <c r="M54" s="59">
        <f>IF(ROUND(ROUND(('Loonschijven_Tranches salariale'!$Q53*0.6),4)*$Y$1,2)&lt;M$8,M$8,IF('Loonschijven_Tranches salariale'!$Q53&lt;Basisbedragen!$C$24,ROUND(ROUND(('Loonschijven_Tranches salariale'!$Q53*0.6),4)*$Y$1,2),ROUND(ROUND((Basisbedragen!$C$24*0.6),4)*$Y$1,2)))</f>
        <v>71.099999999999994</v>
      </c>
      <c r="N54" s="59">
        <f>IF(ROUND(ROUND(('Loonschijven_Tranches salariale'!$Q53*0.6),4)*$Y$1,2)&lt;N$8,N$8,IF('Loonschijven_Tranches salariale'!$Q53&lt;Basisbedragen!$C$24,ROUND(ROUND(('Loonschijven_Tranches salariale'!$Q53*0.6),4)*$Y$1,2),ROUND(ROUND((Basisbedragen!$C$24*0.6),4)*$Y$1,2)))</f>
        <v>62.64</v>
      </c>
      <c r="P54" s="59">
        <f t="shared" si="3"/>
        <v>40.94</v>
      </c>
      <c r="Q54" s="59">
        <f t="shared" si="4"/>
        <v>34.119999999999997</v>
      </c>
      <c r="S54" s="59">
        <f>'TW-CT_JS'!N53</f>
        <v>31.11</v>
      </c>
      <c r="T54" s="59">
        <f t="shared" si="5"/>
        <v>31.11</v>
      </c>
      <c r="U54" s="59">
        <f t="shared" si="6"/>
        <v>31.11</v>
      </c>
      <c r="W54" s="59">
        <f t="shared" si="7"/>
        <v>32.99</v>
      </c>
      <c r="X54" s="59">
        <f t="shared" si="8"/>
        <v>26.74</v>
      </c>
      <c r="Y54" s="59">
        <f t="shared" si="9"/>
        <v>26.15</v>
      </c>
      <c r="Z54" s="519"/>
      <c r="AA54" s="59">
        <f t="shared" si="10"/>
        <v>35.549999999999997</v>
      </c>
      <c r="AB54" s="59">
        <f t="shared" si="10"/>
        <v>31.32</v>
      </c>
    </row>
    <row r="55" spans="1:28" ht="15" thickBot="1">
      <c r="A55" s="54">
        <f t="shared" si="11"/>
        <v>47</v>
      </c>
      <c r="B55" s="59">
        <f>ROUND(A!$D55*1.2,2)</f>
        <v>81.88</v>
      </c>
      <c r="C55" s="59">
        <f>A!$D55</f>
        <v>68.23</v>
      </c>
      <c r="E55" s="59">
        <f>'TW-CT_JS'!D54</f>
        <v>62.22</v>
      </c>
      <c r="F55" s="59">
        <f t="shared" si="1"/>
        <v>62.22</v>
      </c>
      <c r="G55" s="59">
        <f t="shared" si="2"/>
        <v>62.22</v>
      </c>
      <c r="I55" s="59">
        <f>IF(ROUND(ROUND(('Loonschijven_Tranches salariale'!$Q54*0.6),4)*$Y$1,2)&lt;I$8,I$8,IF('Loonschijven_Tranches salariale'!$Q54&lt;Basisbedragen!$C$28,ROUND(ROUND(('Loonschijven_Tranches salariale'!$Q54*0.6),4)*$Y$1,2),ROUND(ROUND((Basisbedragen!$C$28*0.6),4)*$Y$1,2)))</f>
        <v>65.97</v>
      </c>
      <c r="J55" s="59">
        <f>IF(ROUND(ROUND(('Loonschijven_Tranches salariale'!$Q54*0.6),4)*$Y$1,2)&lt;J$8,J$8,IF('Loonschijven_Tranches salariale'!$Q54&lt;Basisbedragen!$C$28,ROUND(ROUND(('Loonschijven_Tranches salariale'!$Q54*0.6),4)*$Y$1,2),ROUND(ROUND((Basisbedragen!$C$28*0.6),4)*$Y$1,2)))</f>
        <v>53.47</v>
      </c>
      <c r="K55" s="505">
        <f>IF(ROUND(ROUND(('Loonschijven_Tranches salariale'!$Q54*0.6),4)*$Y$1,2)&lt;K$8,K$8,IF('Loonschijven_Tranches salariale'!$Q54&lt;Basisbedragen!$C$28,ROUND(ROUND(('Loonschijven_Tranches salariale'!$Q54*0.6),4)*$Y$1,2),ROUND(ROUND((Basisbedragen!$C$28*0.6),4)*$Y$1,2)))</f>
        <v>53.2</v>
      </c>
      <c r="L55" s="519"/>
      <c r="M55" s="59">
        <f>IF(ROUND(ROUND(('Loonschijven_Tranches salariale'!$Q54*0.6),4)*$Y$1,2)&lt;M$8,M$8,IF('Loonschijven_Tranches salariale'!$Q54&lt;Basisbedragen!$C$24,ROUND(ROUND(('Loonschijven_Tranches salariale'!$Q54*0.6),4)*$Y$1,2),ROUND(ROUND((Basisbedragen!$C$24*0.6),4)*$Y$1,2)))</f>
        <v>71.099999999999994</v>
      </c>
      <c r="N55" s="59">
        <f>IF(ROUND(ROUND(('Loonschijven_Tranches salariale'!$Q54*0.6),4)*$Y$1,2)&lt;N$8,N$8,IF('Loonschijven_Tranches salariale'!$Q54&lt;Basisbedragen!$C$24,ROUND(ROUND(('Loonschijven_Tranches salariale'!$Q54*0.6),4)*$Y$1,2),ROUND(ROUND((Basisbedragen!$C$24*0.6),4)*$Y$1,2)))</f>
        <v>62.64</v>
      </c>
      <c r="P55" s="59">
        <f t="shared" si="3"/>
        <v>40.94</v>
      </c>
      <c r="Q55" s="59">
        <f t="shared" si="4"/>
        <v>34.119999999999997</v>
      </c>
      <c r="S55" s="59">
        <f>'TW-CT_JS'!N54</f>
        <v>31.11</v>
      </c>
      <c r="T55" s="59">
        <f t="shared" si="5"/>
        <v>31.11</v>
      </c>
      <c r="U55" s="59">
        <f t="shared" si="6"/>
        <v>31.11</v>
      </c>
      <c r="W55" s="59">
        <f t="shared" si="7"/>
        <v>32.99</v>
      </c>
      <c r="X55" s="59">
        <f t="shared" si="8"/>
        <v>26.74</v>
      </c>
      <c r="Y55" s="59">
        <f t="shared" si="9"/>
        <v>26.6</v>
      </c>
      <c r="Z55" s="519"/>
      <c r="AA55" s="59">
        <f t="shared" si="10"/>
        <v>35.549999999999997</v>
      </c>
      <c r="AB55" s="59">
        <f t="shared" si="10"/>
        <v>31.32</v>
      </c>
    </row>
    <row r="56" spans="1:28" ht="15" thickBot="1">
      <c r="A56" s="54">
        <f t="shared" si="11"/>
        <v>48</v>
      </c>
      <c r="B56" s="59">
        <f>ROUND(A!$D56*1.2,2)</f>
        <v>81.88</v>
      </c>
      <c r="C56" s="59">
        <f>A!$D56</f>
        <v>68.23</v>
      </c>
      <c r="E56" s="59">
        <f>'TW-CT_JS'!D55</f>
        <v>62.22</v>
      </c>
      <c r="F56" s="59">
        <f t="shared" si="1"/>
        <v>62.22</v>
      </c>
      <c r="G56" s="59">
        <f t="shared" si="2"/>
        <v>62.22</v>
      </c>
      <c r="I56" s="59">
        <f>IF(ROUND(ROUND(('Loonschijven_Tranches salariale'!$Q55*0.6),4)*$Y$1,2)&lt;I$8,I$8,IF('Loonschijven_Tranches salariale'!$Q55&lt;Basisbedragen!$C$28,ROUND(ROUND(('Loonschijven_Tranches salariale'!$Q55*0.6),4)*$Y$1,2),ROUND(ROUND((Basisbedragen!$C$28*0.6),4)*$Y$1,2)))</f>
        <v>65.97</v>
      </c>
      <c r="J56" s="59">
        <f>IF(ROUND(ROUND(('Loonschijven_Tranches salariale'!$Q55*0.6),4)*$Y$1,2)&lt;J$8,J$8,IF('Loonschijven_Tranches salariale'!$Q55&lt;Basisbedragen!$C$28,ROUND(ROUND(('Loonschijven_Tranches salariale'!$Q55*0.6),4)*$Y$1,2),ROUND(ROUND((Basisbedragen!$C$28*0.6),4)*$Y$1,2)))</f>
        <v>54.1</v>
      </c>
      <c r="K56" s="505">
        <f>IF(ROUND(ROUND(('Loonschijven_Tranches salariale'!$Q55*0.6),4)*$Y$1,2)&lt;K$8,K$8,IF('Loonschijven_Tranches salariale'!$Q55&lt;Basisbedragen!$C$28,ROUND(ROUND(('Loonschijven_Tranches salariale'!$Q55*0.6),4)*$Y$1,2),ROUND(ROUND((Basisbedragen!$C$28*0.6),4)*$Y$1,2)))</f>
        <v>54.1</v>
      </c>
      <c r="L56" s="519"/>
      <c r="M56" s="59">
        <f>IF(ROUND(ROUND(('Loonschijven_Tranches salariale'!$Q55*0.6),4)*$Y$1,2)&lt;M$8,M$8,IF('Loonschijven_Tranches salariale'!$Q55&lt;Basisbedragen!$C$24,ROUND(ROUND(('Loonschijven_Tranches salariale'!$Q55*0.6),4)*$Y$1,2),ROUND(ROUND((Basisbedragen!$C$24*0.6),4)*$Y$1,2)))</f>
        <v>71.099999999999994</v>
      </c>
      <c r="N56" s="59">
        <f>IF(ROUND(ROUND(('Loonschijven_Tranches salariale'!$Q55*0.6),4)*$Y$1,2)&lt;N$8,N$8,IF('Loonschijven_Tranches salariale'!$Q55&lt;Basisbedragen!$C$24,ROUND(ROUND(('Loonschijven_Tranches salariale'!$Q55*0.6),4)*$Y$1,2),ROUND(ROUND((Basisbedragen!$C$24*0.6),4)*$Y$1,2)))</f>
        <v>62.64</v>
      </c>
      <c r="P56" s="59">
        <f t="shared" si="3"/>
        <v>40.94</v>
      </c>
      <c r="Q56" s="59">
        <f t="shared" si="4"/>
        <v>34.119999999999997</v>
      </c>
      <c r="S56" s="59">
        <f>'TW-CT_JS'!N55</f>
        <v>31.11</v>
      </c>
      <c r="T56" s="59">
        <f t="shared" si="5"/>
        <v>31.11</v>
      </c>
      <c r="U56" s="59">
        <f t="shared" si="6"/>
        <v>31.11</v>
      </c>
      <c r="W56" s="59">
        <f t="shared" si="7"/>
        <v>32.99</v>
      </c>
      <c r="X56" s="59">
        <f t="shared" si="8"/>
        <v>27.05</v>
      </c>
      <c r="Y56" s="59">
        <f t="shared" si="9"/>
        <v>27.05</v>
      </c>
      <c r="Z56" s="519"/>
      <c r="AA56" s="59">
        <f t="shared" si="10"/>
        <v>35.549999999999997</v>
      </c>
      <c r="AB56" s="59">
        <f t="shared" si="10"/>
        <v>31.32</v>
      </c>
    </row>
    <row r="57" spans="1:28" ht="15" thickBot="1">
      <c r="A57" s="54">
        <f t="shared" si="11"/>
        <v>49</v>
      </c>
      <c r="B57" s="59">
        <f>ROUND(A!$D57*1.2,2)</f>
        <v>81.88</v>
      </c>
      <c r="C57" s="59">
        <f>A!$D57</f>
        <v>68.23</v>
      </c>
      <c r="E57" s="59">
        <f>'TW-CT_JS'!D56</f>
        <v>62.22</v>
      </c>
      <c r="F57" s="59">
        <f t="shared" si="1"/>
        <v>62.22</v>
      </c>
      <c r="G57" s="59">
        <f t="shared" si="2"/>
        <v>62.22</v>
      </c>
      <c r="I57" s="59">
        <f>IF(ROUND(ROUND(('Loonschijven_Tranches salariale'!$Q56*0.6),4)*$Y$1,2)&lt;I$8,I$8,IF('Loonschijven_Tranches salariale'!$Q56&lt;Basisbedragen!$C$28,ROUND(ROUND(('Loonschijven_Tranches salariale'!$Q56*0.6),4)*$Y$1,2),ROUND(ROUND((Basisbedragen!$C$28*0.6),4)*$Y$1,2)))</f>
        <v>65.97</v>
      </c>
      <c r="J57" s="59">
        <f>IF(ROUND(ROUND(('Loonschijven_Tranches salariale'!$Q56*0.6),4)*$Y$1,2)&lt;J$8,J$8,IF('Loonschijven_Tranches salariale'!$Q56&lt;Basisbedragen!$C$28,ROUND(ROUND(('Loonschijven_Tranches salariale'!$Q56*0.6),4)*$Y$1,2),ROUND(ROUND((Basisbedragen!$C$28*0.6),4)*$Y$1,2)))</f>
        <v>55</v>
      </c>
      <c r="K57" s="505">
        <f>IF(ROUND(ROUND(('Loonschijven_Tranches salariale'!$Q56*0.6),4)*$Y$1,2)&lt;K$8,K$8,IF('Loonschijven_Tranches salariale'!$Q56&lt;Basisbedragen!$C$28,ROUND(ROUND(('Loonschijven_Tranches salariale'!$Q56*0.6),4)*$Y$1,2),ROUND(ROUND((Basisbedragen!$C$28*0.6),4)*$Y$1,2)))</f>
        <v>55</v>
      </c>
      <c r="L57" s="519"/>
      <c r="M57" s="59">
        <f>IF(ROUND(ROUND(('Loonschijven_Tranches salariale'!$Q56*0.6),4)*$Y$1,2)&lt;M$8,M$8,IF('Loonschijven_Tranches salariale'!$Q56&lt;Basisbedragen!$C$24,ROUND(ROUND(('Loonschijven_Tranches salariale'!$Q56*0.6),4)*$Y$1,2),ROUND(ROUND((Basisbedragen!$C$24*0.6),4)*$Y$1,2)))</f>
        <v>71.099999999999994</v>
      </c>
      <c r="N57" s="59">
        <f>IF(ROUND(ROUND(('Loonschijven_Tranches salariale'!$Q56*0.6),4)*$Y$1,2)&lt;N$8,N$8,IF('Loonschijven_Tranches salariale'!$Q56&lt;Basisbedragen!$C$24,ROUND(ROUND(('Loonschijven_Tranches salariale'!$Q56*0.6),4)*$Y$1,2),ROUND(ROUND((Basisbedragen!$C$24*0.6),4)*$Y$1,2)))</f>
        <v>62.64</v>
      </c>
      <c r="P57" s="59">
        <f t="shared" si="3"/>
        <v>40.94</v>
      </c>
      <c r="Q57" s="59">
        <f t="shared" si="4"/>
        <v>34.119999999999997</v>
      </c>
      <c r="S57" s="59">
        <f>'TW-CT_JS'!N56</f>
        <v>31.11</v>
      </c>
      <c r="T57" s="59">
        <f t="shared" si="5"/>
        <v>31.11</v>
      </c>
      <c r="U57" s="59">
        <f t="shared" si="6"/>
        <v>31.11</v>
      </c>
      <c r="W57" s="59">
        <f t="shared" si="7"/>
        <v>32.99</v>
      </c>
      <c r="X57" s="59">
        <f t="shared" si="8"/>
        <v>27.5</v>
      </c>
      <c r="Y57" s="59">
        <f t="shared" si="9"/>
        <v>27.5</v>
      </c>
      <c r="Z57" s="519"/>
      <c r="AA57" s="59">
        <f t="shared" si="10"/>
        <v>35.549999999999997</v>
      </c>
      <c r="AB57" s="59">
        <f t="shared" si="10"/>
        <v>31.32</v>
      </c>
    </row>
    <row r="58" spans="1:28" ht="15" thickBot="1">
      <c r="A58" s="54">
        <f t="shared" si="11"/>
        <v>50</v>
      </c>
      <c r="B58" s="59">
        <f>ROUND(A!$D58*1.2,2)</f>
        <v>81.88</v>
      </c>
      <c r="C58" s="59">
        <f>A!$D58</f>
        <v>68.23</v>
      </c>
      <c r="E58" s="59">
        <f>'TW-CT_JS'!D57</f>
        <v>62.22</v>
      </c>
      <c r="F58" s="59">
        <f t="shared" si="1"/>
        <v>62.22</v>
      </c>
      <c r="G58" s="59">
        <f t="shared" si="2"/>
        <v>62.22</v>
      </c>
      <c r="I58" s="59">
        <f>IF(ROUND(ROUND(('Loonschijven_Tranches salariale'!$Q57*0.6),4)*$Y$1,2)&lt;I$8,I$8,IF('Loonschijven_Tranches salariale'!$Q57&lt;Basisbedragen!$C$28,ROUND(ROUND(('Loonschijven_Tranches salariale'!$Q57*0.6),4)*$Y$1,2),ROUND(ROUND((Basisbedragen!$C$28*0.6),4)*$Y$1,2)))</f>
        <v>65.97</v>
      </c>
      <c r="J58" s="59">
        <f>IF(ROUND(ROUND(('Loonschijven_Tranches salariale'!$Q57*0.6),4)*$Y$1,2)&lt;J$8,J$8,IF('Loonschijven_Tranches salariale'!$Q57&lt;Basisbedragen!$C$28,ROUND(ROUND(('Loonschijven_Tranches salariale'!$Q57*0.6),4)*$Y$1,2),ROUND(ROUND((Basisbedragen!$C$28*0.6),4)*$Y$1,2)))</f>
        <v>55.9</v>
      </c>
      <c r="K58" s="59">
        <f>IF(ROUND(ROUND(('Loonschijven_Tranches salariale'!$Q57*0.6),4)*$Y$1,2)&lt;K$8,K$8,IF('Loonschijven_Tranches salariale'!$Q57&lt;Basisbedragen!$C$28,ROUND(ROUND(('Loonschijven_Tranches salariale'!$Q57*0.6),4)*$Y$1,2),ROUND(ROUND((Basisbedragen!$C$28*0.6),4)*$Y$1,2)))</f>
        <v>55.9</v>
      </c>
      <c r="L58"/>
      <c r="M58" s="59">
        <f>IF(ROUND(ROUND(('Loonschijven_Tranches salariale'!$Q57*0.6),4)*$Y$1,2)&lt;M$8,M$8,IF('Loonschijven_Tranches salariale'!$Q57&lt;Basisbedragen!$C$24,ROUND(ROUND(('Loonschijven_Tranches salariale'!$Q57*0.6),4)*$Y$1,2),ROUND(ROUND((Basisbedragen!$C$24*0.6),4)*$Y$1,2)))</f>
        <v>71.099999999999994</v>
      </c>
      <c r="N58" s="59">
        <f>IF(ROUND(ROUND(('Loonschijven_Tranches salariale'!$Q57*0.6),4)*$Y$1,2)&lt;N$8,N$8,IF('Loonschijven_Tranches salariale'!$Q57&lt;Basisbedragen!$C$24,ROUND(ROUND(('Loonschijven_Tranches salariale'!$Q57*0.6),4)*$Y$1,2),ROUND(ROUND((Basisbedragen!$C$24*0.6),4)*$Y$1,2)))</f>
        <v>62.64</v>
      </c>
      <c r="P58" s="59">
        <f t="shared" si="3"/>
        <v>40.94</v>
      </c>
      <c r="Q58" s="59">
        <f t="shared" si="4"/>
        <v>34.119999999999997</v>
      </c>
      <c r="S58" s="59">
        <f>'TW-CT_JS'!N57</f>
        <v>31.11</v>
      </c>
      <c r="T58" s="59">
        <f t="shared" si="5"/>
        <v>31.11</v>
      </c>
      <c r="U58" s="59">
        <f t="shared" si="6"/>
        <v>31.11</v>
      </c>
      <c r="W58" s="59">
        <f t="shared" si="7"/>
        <v>32.99</v>
      </c>
      <c r="X58" s="59">
        <f t="shared" si="8"/>
        <v>27.95</v>
      </c>
      <c r="Y58" s="59">
        <f t="shared" si="9"/>
        <v>27.95</v>
      </c>
      <c r="Z58"/>
      <c r="AA58" s="59">
        <f t="shared" si="10"/>
        <v>35.549999999999997</v>
      </c>
      <c r="AB58" s="59">
        <f t="shared" si="10"/>
        <v>31.32</v>
      </c>
    </row>
    <row r="59" spans="1:28" ht="15" thickBot="1">
      <c r="A59" s="54">
        <f t="shared" si="11"/>
        <v>51</v>
      </c>
      <c r="B59" s="59">
        <f>ROUND(A!$D59*1.2,2)</f>
        <v>81.88</v>
      </c>
      <c r="C59" s="59">
        <f>A!$D59</f>
        <v>68.23</v>
      </c>
      <c r="E59" s="59">
        <f>'TW-CT_JS'!D58</f>
        <v>62.22</v>
      </c>
      <c r="F59" s="59">
        <f t="shared" si="1"/>
        <v>62.22</v>
      </c>
      <c r="G59" s="59">
        <f t="shared" si="2"/>
        <v>62.22</v>
      </c>
      <c r="I59" s="59">
        <f>IF(ROUND(ROUND(('Loonschijven_Tranches salariale'!$Q58*0.6),4)*$Y$1,2)&lt;I$8,I$8,IF('Loonschijven_Tranches salariale'!$Q58&lt;Basisbedragen!$C$28,ROUND(ROUND(('Loonschijven_Tranches salariale'!$Q58*0.6),4)*$Y$1,2),ROUND(ROUND((Basisbedragen!$C$28*0.6),4)*$Y$1,2)))</f>
        <v>65.97</v>
      </c>
      <c r="J59" s="59">
        <f>IF(ROUND(ROUND(('Loonschijven_Tranches salariale'!$Q58*0.6),4)*$Y$1,2)&lt;J$8,J$8,IF('Loonschijven_Tranches salariale'!$Q58&lt;Basisbedragen!$C$28,ROUND(ROUND(('Loonschijven_Tranches salariale'!$Q58*0.6),4)*$Y$1,2),ROUND(ROUND((Basisbedragen!$C$28*0.6),4)*$Y$1,2)))</f>
        <v>56.8</v>
      </c>
      <c r="K59" s="505">
        <f>IF(ROUND(ROUND(('Loonschijven_Tranches salariale'!$Q58*0.6),4)*$Y$1,2)&lt;K$8,K$8,IF('Loonschijven_Tranches salariale'!$Q58&lt;Basisbedragen!$C$28,ROUND(ROUND(('Loonschijven_Tranches salariale'!$Q58*0.6),4)*$Y$1,2),ROUND(ROUND((Basisbedragen!$C$28*0.6),4)*$Y$1,2)))</f>
        <v>56.8</v>
      </c>
      <c r="L59" s="519"/>
      <c r="M59" s="59">
        <f>IF(ROUND(ROUND(('Loonschijven_Tranches salariale'!$Q58*0.6),4)*$Y$1,2)&lt;M$8,M$8,IF('Loonschijven_Tranches salariale'!$Q58&lt;Basisbedragen!$C$24,ROUND(ROUND(('Loonschijven_Tranches salariale'!$Q58*0.6),4)*$Y$1,2),ROUND(ROUND((Basisbedragen!$C$24*0.6),4)*$Y$1,2)))</f>
        <v>71.099999999999994</v>
      </c>
      <c r="N59" s="59">
        <f>IF(ROUND(ROUND(('Loonschijven_Tranches salariale'!$Q58*0.6),4)*$Y$1,2)&lt;N$8,N$8,IF('Loonschijven_Tranches salariale'!$Q58&lt;Basisbedragen!$C$24,ROUND(ROUND(('Loonschijven_Tranches salariale'!$Q58*0.6),4)*$Y$1,2),ROUND(ROUND((Basisbedragen!$C$24*0.6),4)*$Y$1,2)))</f>
        <v>62.64</v>
      </c>
      <c r="P59" s="59">
        <f t="shared" si="3"/>
        <v>40.94</v>
      </c>
      <c r="Q59" s="59">
        <f t="shared" si="4"/>
        <v>34.119999999999997</v>
      </c>
      <c r="S59" s="59">
        <f>'TW-CT_JS'!N58</f>
        <v>31.11</v>
      </c>
      <c r="T59" s="59">
        <f t="shared" si="5"/>
        <v>31.11</v>
      </c>
      <c r="U59" s="59">
        <f t="shared" si="6"/>
        <v>31.11</v>
      </c>
      <c r="W59" s="59">
        <f t="shared" si="7"/>
        <v>32.99</v>
      </c>
      <c r="X59" s="59">
        <f t="shared" si="8"/>
        <v>28.4</v>
      </c>
      <c r="Y59" s="59">
        <f t="shared" si="9"/>
        <v>28.4</v>
      </c>
      <c r="Z59" s="519"/>
      <c r="AA59" s="59">
        <f t="shared" si="10"/>
        <v>35.549999999999997</v>
      </c>
      <c r="AB59" s="59">
        <f t="shared" si="10"/>
        <v>31.32</v>
      </c>
    </row>
    <row r="60" spans="1:28" ht="15" thickBot="1">
      <c r="A60" s="54">
        <f t="shared" si="11"/>
        <v>52</v>
      </c>
      <c r="B60" s="59">
        <f>ROUND(A!$D60*1.2,2)</f>
        <v>81.88</v>
      </c>
      <c r="C60" s="59">
        <f>A!$D60</f>
        <v>68.23</v>
      </c>
      <c r="E60" s="59">
        <f>'TW-CT_JS'!D59</f>
        <v>62.22</v>
      </c>
      <c r="F60" s="59">
        <f t="shared" si="1"/>
        <v>62.22</v>
      </c>
      <c r="G60" s="59">
        <f t="shared" si="2"/>
        <v>62.22</v>
      </c>
      <c r="I60" s="59">
        <f>IF(ROUND(ROUND(('Loonschijven_Tranches salariale'!$Q59*0.6),4)*$Y$1,2)&lt;I$8,I$8,IF('Loonschijven_Tranches salariale'!$Q59&lt;Basisbedragen!$C$28,ROUND(ROUND(('Loonschijven_Tranches salariale'!$Q59*0.6),4)*$Y$1,2),ROUND(ROUND((Basisbedragen!$C$28*0.6),4)*$Y$1,2)))</f>
        <v>65.97</v>
      </c>
      <c r="J60" s="59">
        <f>IF(ROUND(ROUND(('Loonschijven_Tranches salariale'!$Q59*0.6),4)*$Y$1,2)&lt;J$8,J$8,IF('Loonschijven_Tranches salariale'!$Q59&lt;Basisbedragen!$C$28,ROUND(ROUND(('Loonschijven_Tranches salariale'!$Q59*0.6),4)*$Y$1,2),ROUND(ROUND((Basisbedragen!$C$28*0.6),4)*$Y$1,2)))</f>
        <v>57.7</v>
      </c>
      <c r="K60" s="505">
        <f>IF(ROUND(ROUND(('Loonschijven_Tranches salariale'!$Q59*0.6),4)*$Y$1,2)&lt;K$8,K$8,IF('Loonschijven_Tranches salariale'!$Q59&lt;Basisbedragen!$C$28,ROUND(ROUND(('Loonschijven_Tranches salariale'!$Q59*0.6),4)*$Y$1,2),ROUND(ROUND((Basisbedragen!$C$28*0.6),4)*$Y$1,2)))</f>
        <v>57.7</v>
      </c>
      <c r="L60" s="519"/>
      <c r="M60" s="59">
        <f>IF(ROUND(ROUND(('Loonschijven_Tranches salariale'!$Q59*0.6),4)*$Y$1,2)&lt;M$8,M$8,IF('Loonschijven_Tranches salariale'!$Q59&lt;Basisbedragen!$C$24,ROUND(ROUND(('Loonschijven_Tranches salariale'!$Q59*0.6),4)*$Y$1,2),ROUND(ROUND((Basisbedragen!$C$24*0.6),4)*$Y$1,2)))</f>
        <v>71.099999999999994</v>
      </c>
      <c r="N60" s="59">
        <f>IF(ROUND(ROUND(('Loonschijven_Tranches salariale'!$Q59*0.6),4)*$Y$1,2)&lt;N$8,N$8,IF('Loonschijven_Tranches salariale'!$Q59&lt;Basisbedragen!$C$24,ROUND(ROUND(('Loonschijven_Tranches salariale'!$Q59*0.6),4)*$Y$1,2),ROUND(ROUND((Basisbedragen!$C$24*0.6),4)*$Y$1,2)))</f>
        <v>62.64</v>
      </c>
      <c r="P60" s="59">
        <f t="shared" si="3"/>
        <v>40.94</v>
      </c>
      <c r="Q60" s="59">
        <f t="shared" si="4"/>
        <v>34.119999999999997</v>
      </c>
      <c r="S60" s="59">
        <f>'TW-CT_JS'!N59</f>
        <v>31.11</v>
      </c>
      <c r="T60" s="59">
        <f t="shared" si="5"/>
        <v>31.11</v>
      </c>
      <c r="U60" s="59">
        <f t="shared" si="6"/>
        <v>31.11</v>
      </c>
      <c r="W60" s="59">
        <f t="shared" si="7"/>
        <v>32.99</v>
      </c>
      <c r="X60" s="59">
        <f t="shared" si="8"/>
        <v>28.85</v>
      </c>
      <c r="Y60" s="59">
        <f t="shared" si="9"/>
        <v>28.85</v>
      </c>
      <c r="Z60" s="519"/>
      <c r="AA60" s="59">
        <f t="shared" si="10"/>
        <v>35.549999999999997</v>
      </c>
      <c r="AB60" s="59">
        <f t="shared" si="10"/>
        <v>31.32</v>
      </c>
    </row>
    <row r="61" spans="1:28" ht="15" thickBot="1">
      <c r="A61" s="54">
        <f t="shared" si="11"/>
        <v>53</v>
      </c>
      <c r="B61" s="59">
        <f>ROUND(A!$D61*1.2,2)</f>
        <v>81.88</v>
      </c>
      <c r="C61" s="59">
        <f>A!$D61</f>
        <v>68.23</v>
      </c>
      <c r="E61" s="59">
        <f>'TW-CT_JS'!D60</f>
        <v>62.22</v>
      </c>
      <c r="F61" s="59">
        <f t="shared" si="1"/>
        <v>62.22</v>
      </c>
      <c r="G61" s="59">
        <f t="shared" si="2"/>
        <v>62.22</v>
      </c>
      <c r="I61" s="59">
        <f>IF(ROUND(ROUND(('Loonschijven_Tranches salariale'!$Q60*0.6),4)*$Y$1,2)&lt;I$8,I$8,IF('Loonschijven_Tranches salariale'!$Q60&lt;Basisbedragen!$C$28,ROUND(ROUND(('Loonschijven_Tranches salariale'!$Q60*0.6),4)*$Y$1,2),ROUND(ROUND((Basisbedragen!$C$28*0.6),4)*$Y$1,2)))</f>
        <v>65.97</v>
      </c>
      <c r="J61" s="59">
        <f>IF(ROUND(ROUND(('Loonschijven_Tranches salariale'!$Q60*0.6),4)*$Y$1,2)&lt;J$8,J$8,IF('Loonschijven_Tranches salariale'!$Q60&lt;Basisbedragen!$C$28,ROUND(ROUND(('Loonschijven_Tranches salariale'!$Q60*0.6),4)*$Y$1,2),ROUND(ROUND((Basisbedragen!$C$28*0.6),4)*$Y$1,2)))</f>
        <v>58.61</v>
      </c>
      <c r="K61" s="505">
        <f>IF(ROUND(ROUND(('Loonschijven_Tranches salariale'!$Q60*0.6),4)*$Y$1,2)&lt;K$8,K$8,IF('Loonschijven_Tranches salariale'!$Q60&lt;Basisbedragen!$C$28,ROUND(ROUND(('Loonschijven_Tranches salariale'!$Q60*0.6),4)*$Y$1,2),ROUND(ROUND((Basisbedragen!$C$28*0.6),4)*$Y$1,2)))</f>
        <v>58.61</v>
      </c>
      <c r="L61" s="519"/>
      <c r="M61" s="59">
        <f>IF(ROUND(ROUND(('Loonschijven_Tranches salariale'!$Q60*0.6),4)*$Y$1,2)&lt;M$8,M$8,IF('Loonschijven_Tranches salariale'!$Q60&lt;Basisbedragen!$C$24,ROUND(ROUND(('Loonschijven_Tranches salariale'!$Q60*0.6),4)*$Y$1,2),ROUND(ROUND((Basisbedragen!$C$24*0.6),4)*$Y$1,2)))</f>
        <v>71.099999999999994</v>
      </c>
      <c r="N61" s="59">
        <f>IF(ROUND(ROUND(('Loonschijven_Tranches salariale'!$Q60*0.6),4)*$Y$1,2)&lt;N$8,N$8,IF('Loonschijven_Tranches salariale'!$Q60&lt;Basisbedragen!$C$24,ROUND(ROUND(('Loonschijven_Tranches salariale'!$Q60*0.6),4)*$Y$1,2),ROUND(ROUND((Basisbedragen!$C$24*0.6),4)*$Y$1,2)))</f>
        <v>62.64</v>
      </c>
      <c r="P61" s="59">
        <f t="shared" si="3"/>
        <v>40.94</v>
      </c>
      <c r="Q61" s="59">
        <f t="shared" si="4"/>
        <v>34.119999999999997</v>
      </c>
      <c r="S61" s="59">
        <f>'TW-CT_JS'!N60</f>
        <v>31.11</v>
      </c>
      <c r="T61" s="59">
        <f t="shared" si="5"/>
        <v>31.11</v>
      </c>
      <c r="U61" s="59">
        <f t="shared" si="6"/>
        <v>31.11</v>
      </c>
      <c r="W61" s="59">
        <f t="shared" si="7"/>
        <v>32.99</v>
      </c>
      <c r="X61" s="59">
        <f t="shared" si="8"/>
        <v>29.31</v>
      </c>
      <c r="Y61" s="59">
        <f t="shared" si="9"/>
        <v>29.31</v>
      </c>
      <c r="Z61" s="519"/>
      <c r="AA61" s="59">
        <f t="shared" si="10"/>
        <v>35.549999999999997</v>
      </c>
      <c r="AB61" s="59">
        <f t="shared" si="10"/>
        <v>31.32</v>
      </c>
    </row>
    <row r="62" spans="1:28" ht="15" thickBot="1">
      <c r="A62" s="54">
        <f t="shared" si="11"/>
        <v>54</v>
      </c>
      <c r="B62" s="59">
        <f>ROUND(A!$D62*1.2,2)</f>
        <v>81.88</v>
      </c>
      <c r="C62" s="59">
        <f>A!$D62</f>
        <v>68.23</v>
      </c>
      <c r="E62" s="59">
        <f>'TW-CT_JS'!D61</f>
        <v>62.22</v>
      </c>
      <c r="F62" s="59">
        <f t="shared" si="1"/>
        <v>62.22</v>
      </c>
      <c r="G62" s="59">
        <f t="shared" si="2"/>
        <v>62.22</v>
      </c>
      <c r="I62" s="59">
        <f>IF(ROUND(ROUND(('Loonschijven_Tranches salariale'!$Q61*0.6),4)*$Y$1,2)&lt;I$8,I$8,IF('Loonschijven_Tranches salariale'!$Q61&lt;Basisbedragen!$C$28,ROUND(ROUND(('Loonschijven_Tranches salariale'!$Q61*0.6),4)*$Y$1,2),ROUND(ROUND((Basisbedragen!$C$28*0.6),4)*$Y$1,2)))</f>
        <v>65.97</v>
      </c>
      <c r="J62" s="59">
        <f>IF(ROUND(ROUND(('Loonschijven_Tranches salariale'!$Q61*0.6),4)*$Y$1,2)&lt;J$8,J$8,IF('Loonschijven_Tranches salariale'!$Q61&lt;Basisbedragen!$C$28,ROUND(ROUND(('Loonschijven_Tranches salariale'!$Q61*0.6),4)*$Y$1,2),ROUND(ROUND((Basisbedragen!$C$28*0.6),4)*$Y$1,2)))</f>
        <v>59.06</v>
      </c>
      <c r="K62" s="505">
        <f>IF(ROUND(ROUND(('Loonschijven_Tranches salariale'!$Q61*0.6),4)*$Y$1,2)&lt;K$8,K$8,IF('Loonschijven_Tranches salariale'!$Q61&lt;Basisbedragen!$C$28,ROUND(ROUND(('Loonschijven_Tranches salariale'!$Q61*0.6),4)*$Y$1,2),ROUND(ROUND((Basisbedragen!$C$28*0.6),4)*$Y$1,2)))</f>
        <v>59.06</v>
      </c>
      <c r="L62" s="519"/>
      <c r="M62" s="59">
        <f>IF(ROUND(ROUND(('Loonschijven_Tranches salariale'!$Q61*0.6),4)*$Y$1,2)&lt;M$8,M$8,IF('Loonschijven_Tranches salariale'!$Q61&lt;Basisbedragen!$C$24,ROUND(ROUND(('Loonschijven_Tranches salariale'!$Q61*0.6),4)*$Y$1,2),ROUND(ROUND((Basisbedragen!$C$24*0.6),4)*$Y$1,2)))</f>
        <v>71.099999999999994</v>
      </c>
      <c r="N62" s="59">
        <f>IF(ROUND(ROUND(('Loonschijven_Tranches salariale'!$Q61*0.6),4)*$Y$1,2)&lt;N$8,N$8,IF('Loonschijven_Tranches salariale'!$Q61&lt;Basisbedragen!$C$24,ROUND(ROUND(('Loonschijven_Tranches salariale'!$Q61*0.6),4)*$Y$1,2),ROUND(ROUND((Basisbedragen!$C$24*0.6),4)*$Y$1,2)))</f>
        <v>62.64</v>
      </c>
      <c r="P62" s="59">
        <f t="shared" si="3"/>
        <v>40.94</v>
      </c>
      <c r="Q62" s="59">
        <f t="shared" si="4"/>
        <v>34.119999999999997</v>
      </c>
      <c r="S62" s="59">
        <f>'TW-CT_JS'!N61</f>
        <v>31.11</v>
      </c>
      <c r="T62" s="59">
        <f t="shared" si="5"/>
        <v>31.11</v>
      </c>
      <c r="U62" s="59">
        <f t="shared" si="6"/>
        <v>31.11</v>
      </c>
      <c r="W62" s="59">
        <f t="shared" si="7"/>
        <v>32.99</v>
      </c>
      <c r="X62" s="59">
        <f t="shared" si="8"/>
        <v>29.53</v>
      </c>
      <c r="Y62" s="59">
        <f t="shared" si="9"/>
        <v>29.53</v>
      </c>
      <c r="Z62" s="519"/>
      <c r="AA62" s="59">
        <f t="shared" si="10"/>
        <v>35.549999999999997</v>
      </c>
      <c r="AB62" s="59">
        <f t="shared" si="10"/>
        <v>31.32</v>
      </c>
    </row>
    <row r="63" spans="1:28" ht="15" thickBot="1">
      <c r="A63" s="54">
        <f t="shared" si="11"/>
        <v>55</v>
      </c>
      <c r="B63" s="59">
        <f>ROUND(A!$D63*1.2,2)</f>
        <v>81.88</v>
      </c>
      <c r="C63" s="59">
        <f>A!$D63</f>
        <v>68.23</v>
      </c>
      <c r="E63" s="59">
        <f>'TW-CT_JS'!D62</f>
        <v>62.22</v>
      </c>
      <c r="F63" s="59">
        <f t="shared" si="1"/>
        <v>62.22</v>
      </c>
      <c r="G63" s="59">
        <f t="shared" si="2"/>
        <v>62.22</v>
      </c>
      <c r="I63" s="59">
        <f>IF(ROUND(ROUND(('Loonschijven_Tranches salariale'!$Q62*0.6),4)*$Y$1,2)&lt;I$8,I$8,IF('Loonschijven_Tranches salariale'!$Q62&lt;Basisbedragen!$C$28,ROUND(ROUND(('Loonschijven_Tranches salariale'!$Q62*0.6),4)*$Y$1,2),ROUND(ROUND((Basisbedragen!$C$28*0.6),4)*$Y$1,2)))</f>
        <v>65.97</v>
      </c>
      <c r="J63" s="59">
        <f>IF(ROUND(ROUND(('Loonschijven_Tranches salariale'!$Q62*0.6),4)*$Y$1,2)&lt;J$8,J$8,IF('Loonschijven_Tranches salariale'!$Q62&lt;Basisbedragen!$C$28,ROUND(ROUND(('Loonschijven_Tranches salariale'!$Q62*0.6),4)*$Y$1,2),ROUND(ROUND((Basisbedragen!$C$28*0.6),4)*$Y$1,2)))</f>
        <v>59.51</v>
      </c>
      <c r="K63" s="59">
        <f>IF(ROUND(ROUND(('Loonschijven_Tranches salariale'!$Q62*0.6),4)*$Y$1,2)&lt;K$8,K$8,IF('Loonschijven_Tranches salariale'!$Q62&lt;Basisbedragen!$C$28,ROUND(ROUND(('Loonschijven_Tranches salariale'!$Q62*0.6),4)*$Y$1,2),ROUND(ROUND((Basisbedragen!$C$28*0.6),4)*$Y$1,2)))</f>
        <v>59.51</v>
      </c>
      <c r="L63"/>
      <c r="M63" s="59">
        <f>IF(ROUND(ROUND(('Loonschijven_Tranches salariale'!$Q62*0.6),4)*$Y$1,2)&lt;M$8,M$8,IF('Loonschijven_Tranches salariale'!$Q62&lt;Basisbedragen!$C$24,ROUND(ROUND(('Loonschijven_Tranches salariale'!$Q62*0.6),4)*$Y$1,2),ROUND(ROUND((Basisbedragen!$C$24*0.6),4)*$Y$1,2)))</f>
        <v>71.099999999999994</v>
      </c>
      <c r="N63" s="59">
        <f>IF(ROUND(ROUND(('Loonschijven_Tranches salariale'!$Q62*0.6),4)*$Y$1,2)&lt;N$8,N$8,IF('Loonschijven_Tranches salariale'!$Q62&lt;Basisbedragen!$C$24,ROUND(ROUND(('Loonschijven_Tranches salariale'!$Q62*0.6),4)*$Y$1,2),ROUND(ROUND((Basisbedragen!$C$24*0.6),4)*$Y$1,2)))</f>
        <v>62.64</v>
      </c>
      <c r="P63" s="59">
        <f t="shared" si="3"/>
        <v>40.94</v>
      </c>
      <c r="Q63" s="59">
        <f t="shared" si="4"/>
        <v>34.119999999999997</v>
      </c>
      <c r="S63" s="59">
        <f>'TW-CT_JS'!N62</f>
        <v>31.11</v>
      </c>
      <c r="T63" s="59">
        <f t="shared" si="5"/>
        <v>31.11</v>
      </c>
      <c r="U63" s="59">
        <f t="shared" si="6"/>
        <v>31.11</v>
      </c>
      <c r="W63" s="59">
        <f t="shared" si="7"/>
        <v>32.99</v>
      </c>
      <c r="X63" s="59">
        <f t="shared" si="8"/>
        <v>29.76</v>
      </c>
      <c r="Y63" s="59">
        <f t="shared" si="9"/>
        <v>29.76</v>
      </c>
      <c r="Z63"/>
      <c r="AA63" s="59">
        <f t="shared" si="10"/>
        <v>35.549999999999997</v>
      </c>
      <c r="AB63" s="59">
        <f t="shared" si="10"/>
        <v>31.32</v>
      </c>
    </row>
    <row r="64" spans="1:28" ht="15" thickBot="1">
      <c r="A64" s="54">
        <f t="shared" si="11"/>
        <v>56</v>
      </c>
      <c r="B64" s="59">
        <f>ROUND(A!$D64*1.2,2)</f>
        <v>81.88</v>
      </c>
      <c r="C64" s="59">
        <f>A!$D64</f>
        <v>68.23</v>
      </c>
      <c r="E64" s="59">
        <f>'TW-CT_JS'!D63</f>
        <v>62.22</v>
      </c>
      <c r="F64" s="59">
        <f t="shared" si="1"/>
        <v>62.22</v>
      </c>
      <c r="G64" s="59">
        <f t="shared" si="2"/>
        <v>62.22</v>
      </c>
      <c r="I64" s="59">
        <f>IF(ROUND(ROUND(('Loonschijven_Tranches salariale'!$Q63*0.6),4)*$Y$1,2)&lt;I$8,I$8,IF('Loonschijven_Tranches salariale'!$Q63&lt;Basisbedragen!$C$28,ROUND(ROUND(('Loonschijven_Tranches salariale'!$Q63*0.6),4)*$Y$1,2),ROUND(ROUND((Basisbedragen!$C$28*0.6),4)*$Y$1,2)))</f>
        <v>65.97</v>
      </c>
      <c r="J64" s="59">
        <f>IF(ROUND(ROUND(('Loonschijven_Tranches salariale'!$Q63*0.6),4)*$Y$1,2)&lt;J$8,J$8,IF('Loonschijven_Tranches salariale'!$Q63&lt;Basisbedragen!$C$28,ROUND(ROUND(('Loonschijven_Tranches salariale'!$Q63*0.6),4)*$Y$1,2),ROUND(ROUND((Basisbedragen!$C$28*0.6),4)*$Y$1,2)))</f>
        <v>60.41</v>
      </c>
      <c r="K64" s="505">
        <f>IF(ROUND(ROUND(('Loonschijven_Tranches salariale'!$Q63*0.6),4)*$Y$1,2)&lt;K$8,K$8,IF('Loonschijven_Tranches salariale'!$Q63&lt;Basisbedragen!$C$28,ROUND(ROUND(('Loonschijven_Tranches salariale'!$Q63*0.6),4)*$Y$1,2),ROUND(ROUND((Basisbedragen!$C$28*0.6),4)*$Y$1,2)))</f>
        <v>60.41</v>
      </c>
      <c r="L64" s="519"/>
      <c r="M64" s="59">
        <f>IF(ROUND(ROUND(('Loonschijven_Tranches salariale'!$Q63*0.6),4)*$Y$1,2)&lt;M$8,M$8,IF('Loonschijven_Tranches salariale'!$Q63&lt;Basisbedragen!$C$24,ROUND(ROUND(('Loonschijven_Tranches salariale'!$Q63*0.6),4)*$Y$1,2),ROUND(ROUND((Basisbedragen!$C$24*0.6),4)*$Y$1,2)))</f>
        <v>71.099999999999994</v>
      </c>
      <c r="N64" s="59">
        <f>IF(ROUND(ROUND(('Loonschijven_Tranches salariale'!$Q63*0.6),4)*$Y$1,2)&lt;N$8,N$8,IF('Loonschijven_Tranches salariale'!$Q63&lt;Basisbedragen!$C$24,ROUND(ROUND(('Loonschijven_Tranches salariale'!$Q63*0.6),4)*$Y$1,2),ROUND(ROUND((Basisbedragen!$C$24*0.6),4)*$Y$1,2)))</f>
        <v>62.64</v>
      </c>
      <c r="P64" s="59">
        <f t="shared" si="3"/>
        <v>40.94</v>
      </c>
      <c r="Q64" s="59">
        <f t="shared" si="4"/>
        <v>34.119999999999997</v>
      </c>
      <c r="S64" s="59">
        <f>'TW-CT_JS'!N63</f>
        <v>31.11</v>
      </c>
      <c r="T64" s="59">
        <f t="shared" si="5"/>
        <v>31.11</v>
      </c>
      <c r="U64" s="59">
        <f t="shared" si="6"/>
        <v>31.11</v>
      </c>
      <c r="W64" s="59">
        <f t="shared" si="7"/>
        <v>32.99</v>
      </c>
      <c r="X64" s="59">
        <f t="shared" si="8"/>
        <v>30.21</v>
      </c>
      <c r="Y64" s="59">
        <f t="shared" si="9"/>
        <v>30.21</v>
      </c>
      <c r="Z64" s="519"/>
      <c r="AA64" s="59">
        <f t="shared" si="10"/>
        <v>35.549999999999997</v>
      </c>
      <c r="AB64" s="59">
        <f t="shared" si="10"/>
        <v>31.32</v>
      </c>
    </row>
    <row r="65" spans="1:28" ht="15" thickBot="1">
      <c r="A65" s="54">
        <f t="shared" si="11"/>
        <v>57</v>
      </c>
      <c r="B65" s="59">
        <f>ROUND(A!$D65*1.2,2)</f>
        <v>81.88</v>
      </c>
      <c r="C65" s="59">
        <f>A!$D65</f>
        <v>68.23</v>
      </c>
      <c r="E65" s="59">
        <f>'TW-CT_JS'!D64</f>
        <v>62.22</v>
      </c>
      <c r="F65" s="59">
        <f t="shared" si="1"/>
        <v>62.22</v>
      </c>
      <c r="G65" s="59">
        <f t="shared" si="2"/>
        <v>62.22</v>
      </c>
      <c r="I65" s="59">
        <f>IF(ROUND(ROUND(('Loonschijven_Tranches salariale'!$Q64*0.6),4)*$Y$1,2)&lt;I$8,I$8,IF('Loonschijven_Tranches salariale'!$Q64&lt;Basisbedragen!$C$28,ROUND(ROUND(('Loonschijven_Tranches salariale'!$Q64*0.6),4)*$Y$1,2),ROUND(ROUND((Basisbedragen!$C$28*0.6),4)*$Y$1,2)))</f>
        <v>65.97</v>
      </c>
      <c r="J65" s="59">
        <f>IF(ROUND(ROUND(('Loonschijven_Tranches salariale'!$Q64*0.6),4)*$Y$1,2)&lt;J$8,J$8,IF('Loonschijven_Tranches salariale'!$Q64&lt;Basisbedragen!$C$28,ROUND(ROUND(('Loonschijven_Tranches salariale'!$Q64*0.6),4)*$Y$1,2),ROUND(ROUND((Basisbedragen!$C$28*0.6),4)*$Y$1,2)))</f>
        <v>61.31</v>
      </c>
      <c r="K65" s="505">
        <f>IF(ROUND(ROUND(('Loonschijven_Tranches salariale'!$Q64*0.6),4)*$Y$1,2)&lt;K$8,K$8,IF('Loonschijven_Tranches salariale'!$Q64&lt;Basisbedragen!$C$28,ROUND(ROUND(('Loonschijven_Tranches salariale'!$Q64*0.6),4)*$Y$1,2),ROUND(ROUND((Basisbedragen!$C$28*0.6),4)*$Y$1,2)))</f>
        <v>61.31</v>
      </c>
      <c r="L65" s="519"/>
      <c r="M65" s="59">
        <f>IF(ROUND(ROUND(('Loonschijven_Tranches salariale'!$Q64*0.6),4)*$Y$1,2)&lt;M$8,M$8,IF('Loonschijven_Tranches salariale'!$Q64&lt;Basisbedragen!$C$24,ROUND(ROUND(('Loonschijven_Tranches salariale'!$Q64*0.6),4)*$Y$1,2),ROUND(ROUND((Basisbedragen!$C$24*0.6),4)*$Y$1,2)))</f>
        <v>71.099999999999994</v>
      </c>
      <c r="N65" s="59">
        <f>IF(ROUND(ROUND(('Loonschijven_Tranches salariale'!$Q64*0.6),4)*$Y$1,2)&lt;N$8,N$8,IF('Loonschijven_Tranches salariale'!$Q64&lt;Basisbedragen!$C$24,ROUND(ROUND(('Loonschijven_Tranches salariale'!$Q64*0.6),4)*$Y$1,2),ROUND(ROUND((Basisbedragen!$C$24*0.6),4)*$Y$1,2)))</f>
        <v>62.64</v>
      </c>
      <c r="P65" s="59">
        <f t="shared" si="3"/>
        <v>40.94</v>
      </c>
      <c r="Q65" s="59">
        <f t="shared" si="4"/>
        <v>34.119999999999997</v>
      </c>
      <c r="S65" s="59">
        <f>'TW-CT_JS'!N64</f>
        <v>31.11</v>
      </c>
      <c r="T65" s="59">
        <f t="shared" si="5"/>
        <v>31.11</v>
      </c>
      <c r="U65" s="59">
        <f t="shared" si="6"/>
        <v>31.11</v>
      </c>
      <c r="W65" s="59">
        <f t="shared" si="7"/>
        <v>32.99</v>
      </c>
      <c r="X65" s="59">
        <f t="shared" si="8"/>
        <v>30.66</v>
      </c>
      <c r="Y65" s="59">
        <f t="shared" si="9"/>
        <v>30.66</v>
      </c>
      <c r="Z65" s="519"/>
      <c r="AA65" s="59">
        <f t="shared" si="10"/>
        <v>35.549999999999997</v>
      </c>
      <c r="AB65" s="59">
        <f t="shared" si="10"/>
        <v>31.32</v>
      </c>
    </row>
    <row r="66" spans="1:28" ht="15" thickBot="1">
      <c r="A66" s="54">
        <f t="shared" si="11"/>
        <v>58</v>
      </c>
      <c r="B66" s="59">
        <f>ROUND(A!$D66*1.2,2)</f>
        <v>81.88</v>
      </c>
      <c r="C66" s="59">
        <f>A!$D66</f>
        <v>68.23</v>
      </c>
      <c r="E66" s="59">
        <f>'TW-CT_JS'!D65</f>
        <v>62.22</v>
      </c>
      <c r="F66" s="59">
        <f t="shared" si="1"/>
        <v>62.22</v>
      </c>
      <c r="G66" s="59">
        <f t="shared" si="2"/>
        <v>62.22</v>
      </c>
      <c r="I66" s="59">
        <f>IF(ROUND(ROUND(('Loonschijven_Tranches salariale'!$Q65*0.6),4)*$Y$1,2)&lt;I$8,I$8,IF('Loonschijven_Tranches salariale'!$Q65&lt;Basisbedragen!$C$28,ROUND(ROUND(('Loonschijven_Tranches salariale'!$Q65*0.6),4)*$Y$1,2),ROUND(ROUND((Basisbedragen!$C$28*0.6),4)*$Y$1,2)))</f>
        <v>65.97</v>
      </c>
      <c r="J66" s="59">
        <f>IF(ROUND(ROUND(('Loonschijven_Tranches salariale'!$Q65*0.6),4)*$Y$1,2)&lt;J$8,J$8,IF('Loonschijven_Tranches salariale'!$Q65&lt;Basisbedragen!$C$28,ROUND(ROUND(('Loonschijven_Tranches salariale'!$Q65*0.6),4)*$Y$1,2),ROUND(ROUND((Basisbedragen!$C$28*0.6),4)*$Y$1,2)))</f>
        <v>62.21</v>
      </c>
      <c r="K66" s="505">
        <f>IF(ROUND(ROUND(('Loonschijven_Tranches salariale'!$Q65*0.6),4)*$Y$1,2)&lt;K$8,K$8,IF('Loonschijven_Tranches salariale'!$Q65&lt;Basisbedragen!$C$28,ROUND(ROUND(('Loonschijven_Tranches salariale'!$Q65*0.6),4)*$Y$1,2),ROUND(ROUND((Basisbedragen!$C$28*0.6),4)*$Y$1,2)))</f>
        <v>62.21</v>
      </c>
      <c r="L66" s="519"/>
      <c r="M66" s="59">
        <f>IF(ROUND(ROUND(('Loonschijven_Tranches salariale'!$Q65*0.6),4)*$Y$1,2)&lt;M$8,M$8,IF('Loonschijven_Tranches salariale'!$Q65&lt;Basisbedragen!$C$24,ROUND(ROUND(('Loonschijven_Tranches salariale'!$Q65*0.6),4)*$Y$1,2),ROUND(ROUND((Basisbedragen!$C$24*0.6),4)*$Y$1,2)))</f>
        <v>71.099999999999994</v>
      </c>
      <c r="N66" s="59">
        <f>IF(ROUND(ROUND(('Loonschijven_Tranches salariale'!$Q65*0.6),4)*$Y$1,2)&lt;N$8,N$8,IF('Loonschijven_Tranches salariale'!$Q65&lt;Basisbedragen!$C$24,ROUND(ROUND(('Loonschijven_Tranches salariale'!$Q65*0.6),4)*$Y$1,2),ROUND(ROUND((Basisbedragen!$C$24*0.6),4)*$Y$1,2)))</f>
        <v>62.64</v>
      </c>
      <c r="P66" s="59">
        <f t="shared" si="3"/>
        <v>40.94</v>
      </c>
      <c r="Q66" s="59">
        <f t="shared" si="4"/>
        <v>34.119999999999997</v>
      </c>
      <c r="S66" s="59">
        <f>'TW-CT_JS'!N65</f>
        <v>31.11</v>
      </c>
      <c r="T66" s="59">
        <f t="shared" si="5"/>
        <v>31.11</v>
      </c>
      <c r="U66" s="59">
        <f t="shared" si="6"/>
        <v>31.11</v>
      </c>
      <c r="W66" s="59">
        <f t="shared" si="7"/>
        <v>32.99</v>
      </c>
      <c r="X66" s="59">
        <f t="shared" si="8"/>
        <v>31.11</v>
      </c>
      <c r="Y66" s="59">
        <f t="shared" si="9"/>
        <v>31.11</v>
      </c>
      <c r="Z66" s="519"/>
      <c r="AA66" s="59">
        <f t="shared" si="10"/>
        <v>35.549999999999997</v>
      </c>
      <c r="AB66" s="59">
        <f t="shared" si="10"/>
        <v>31.32</v>
      </c>
    </row>
    <row r="67" spans="1:28" ht="15" thickBot="1">
      <c r="A67" s="54">
        <f t="shared" si="11"/>
        <v>59</v>
      </c>
      <c r="B67" s="59">
        <f>ROUND(A!$D67*1.2,2)</f>
        <v>81.88</v>
      </c>
      <c r="C67" s="59">
        <f>A!$D67</f>
        <v>68.23</v>
      </c>
      <c r="E67" s="59">
        <f>'TW-CT_JS'!D66</f>
        <v>63.34</v>
      </c>
      <c r="F67" s="59">
        <f t="shared" si="1"/>
        <v>63.34</v>
      </c>
      <c r="G67" s="59">
        <f t="shared" si="2"/>
        <v>63.34</v>
      </c>
      <c r="I67" s="59">
        <f>IF(ROUND(ROUND(('Loonschijven_Tranches salariale'!$Q66*0.6),4)*$Y$1,2)&lt;I$8,I$8,IF('Loonschijven_Tranches salariale'!$Q66&lt;Basisbedragen!$C$28,ROUND(ROUND(('Loonschijven_Tranches salariale'!$Q66*0.6),4)*$Y$1,2),ROUND(ROUND((Basisbedragen!$C$28*0.6),4)*$Y$1,2)))</f>
        <v>65.97</v>
      </c>
      <c r="J67" s="59">
        <f>IF(ROUND(ROUND(('Loonschijven_Tranches salariale'!$Q66*0.6),4)*$Y$1,2)&lt;J$8,J$8,IF('Loonschijven_Tranches salariale'!$Q66&lt;Basisbedragen!$C$28,ROUND(ROUND(('Loonschijven_Tranches salariale'!$Q66*0.6),4)*$Y$1,2),ROUND(ROUND((Basisbedragen!$C$28*0.6),4)*$Y$1,2)))</f>
        <v>63.34</v>
      </c>
      <c r="K67" s="505">
        <f>IF(ROUND(ROUND(('Loonschijven_Tranches salariale'!$Q66*0.6),4)*$Y$1,2)&lt;K$8,K$8,IF('Loonschijven_Tranches salariale'!$Q66&lt;Basisbedragen!$C$28,ROUND(ROUND(('Loonschijven_Tranches salariale'!$Q66*0.6),4)*$Y$1,2),ROUND(ROUND((Basisbedragen!$C$28*0.6),4)*$Y$1,2)))</f>
        <v>63.34</v>
      </c>
      <c r="L67" s="519"/>
      <c r="M67" s="59">
        <f>IF(ROUND(ROUND(('Loonschijven_Tranches salariale'!$Q66*0.6),4)*$Y$1,2)&lt;M$8,M$8,IF('Loonschijven_Tranches salariale'!$Q66&lt;Basisbedragen!$C$24,ROUND(ROUND(('Loonschijven_Tranches salariale'!$Q66*0.6),4)*$Y$1,2),ROUND(ROUND((Basisbedragen!$C$24*0.6),4)*$Y$1,2)))</f>
        <v>71.099999999999994</v>
      </c>
      <c r="N67" s="59">
        <f>IF(ROUND(ROUND(('Loonschijven_Tranches salariale'!$Q66*0.6),4)*$Y$1,2)&lt;N$8,N$8,IF('Loonschijven_Tranches salariale'!$Q66&lt;Basisbedragen!$C$24,ROUND(ROUND(('Loonschijven_Tranches salariale'!$Q66*0.6),4)*$Y$1,2),ROUND(ROUND((Basisbedragen!$C$24*0.6),4)*$Y$1,2)))</f>
        <v>63.34</v>
      </c>
      <c r="P67" s="59">
        <f t="shared" si="3"/>
        <v>40.94</v>
      </c>
      <c r="Q67" s="59">
        <f t="shared" si="4"/>
        <v>34.119999999999997</v>
      </c>
      <c r="S67" s="59">
        <f>'TW-CT_JS'!N66</f>
        <v>31.67</v>
      </c>
      <c r="T67" s="59">
        <f t="shared" si="5"/>
        <v>31.67</v>
      </c>
      <c r="U67" s="59">
        <f t="shared" si="6"/>
        <v>31.67</v>
      </c>
      <c r="W67" s="59">
        <f t="shared" si="7"/>
        <v>32.99</v>
      </c>
      <c r="X67" s="59">
        <f t="shared" si="8"/>
        <v>31.67</v>
      </c>
      <c r="Y67" s="59">
        <f t="shared" si="9"/>
        <v>31.67</v>
      </c>
      <c r="Z67" s="519"/>
      <c r="AA67" s="59">
        <f t="shared" si="10"/>
        <v>35.549999999999997</v>
      </c>
      <c r="AB67" s="59">
        <f t="shared" si="10"/>
        <v>31.67</v>
      </c>
    </row>
    <row r="68" spans="1:28" ht="15" thickBot="1">
      <c r="A68" s="54">
        <f t="shared" si="11"/>
        <v>60</v>
      </c>
      <c r="B68" s="59">
        <f>ROUND(A!$D68*1.2,2)</f>
        <v>81.88</v>
      </c>
      <c r="C68" s="59">
        <f>A!$D68</f>
        <v>68.23</v>
      </c>
      <c r="E68" s="59">
        <f>'TW-CT_JS'!D67</f>
        <v>64.13</v>
      </c>
      <c r="F68" s="59">
        <f t="shared" si="1"/>
        <v>64.13</v>
      </c>
      <c r="G68" s="59">
        <f t="shared" si="2"/>
        <v>64.13</v>
      </c>
      <c r="I68" s="59">
        <f>IF(ROUND(ROUND(('Loonschijven_Tranches salariale'!$Q67*0.6),4)*$Y$1,2)&lt;I$8,I$8,IF('Loonschijven_Tranches salariale'!$Q67&lt;Basisbedragen!$C$28,ROUND(ROUND(('Loonschijven_Tranches salariale'!$Q67*0.6),4)*$Y$1,2),ROUND(ROUND((Basisbedragen!$C$28*0.6),4)*$Y$1,2)))</f>
        <v>65.97</v>
      </c>
      <c r="J68" s="59">
        <f>IF(ROUND(ROUND(('Loonschijven_Tranches salariale'!$Q67*0.6),4)*$Y$1,2)&lt;J$8,J$8,IF('Loonschijven_Tranches salariale'!$Q67&lt;Basisbedragen!$C$28,ROUND(ROUND(('Loonschijven_Tranches salariale'!$Q67*0.6),4)*$Y$1,2),ROUND(ROUND((Basisbedragen!$C$28*0.6),4)*$Y$1,2)))</f>
        <v>64.13</v>
      </c>
      <c r="K68" s="59">
        <f>IF(ROUND(ROUND(('Loonschijven_Tranches salariale'!$Q67*0.6),4)*$Y$1,2)&lt;K$8,K$8,IF('Loonschijven_Tranches salariale'!$Q67&lt;Basisbedragen!$C$28,ROUND(ROUND(('Loonschijven_Tranches salariale'!$Q67*0.6),4)*$Y$1,2),ROUND(ROUND((Basisbedragen!$C$28*0.6),4)*$Y$1,2)))</f>
        <v>64.13</v>
      </c>
      <c r="L68"/>
      <c r="M68" s="59">
        <f>IF(ROUND(ROUND(('Loonschijven_Tranches salariale'!$Q67*0.6),4)*$Y$1,2)&lt;M$8,M$8,IF('Loonschijven_Tranches salariale'!$Q67&lt;Basisbedragen!$C$24,ROUND(ROUND(('Loonschijven_Tranches salariale'!$Q67*0.6),4)*$Y$1,2),ROUND(ROUND((Basisbedragen!$C$24*0.6),4)*$Y$1,2)))</f>
        <v>71.099999999999994</v>
      </c>
      <c r="N68" s="59">
        <f>IF(ROUND(ROUND(('Loonschijven_Tranches salariale'!$Q67*0.6),4)*$Y$1,2)&lt;N$8,N$8,IF('Loonschijven_Tranches salariale'!$Q67&lt;Basisbedragen!$C$24,ROUND(ROUND(('Loonschijven_Tranches salariale'!$Q67*0.6),4)*$Y$1,2),ROUND(ROUND((Basisbedragen!$C$24*0.6),4)*$Y$1,2)))</f>
        <v>64.13</v>
      </c>
      <c r="P68" s="59">
        <f t="shared" si="3"/>
        <v>40.94</v>
      </c>
      <c r="Q68" s="59">
        <f t="shared" si="4"/>
        <v>34.119999999999997</v>
      </c>
      <c r="S68" s="59">
        <f>'TW-CT_JS'!N67</f>
        <v>32.07</v>
      </c>
      <c r="T68" s="59">
        <f t="shared" si="5"/>
        <v>32.07</v>
      </c>
      <c r="U68" s="59">
        <f t="shared" si="6"/>
        <v>32.07</v>
      </c>
      <c r="W68" s="59">
        <f t="shared" ref="W68:Y69" si="12">ROUND(I68/2,2)</f>
        <v>32.99</v>
      </c>
      <c r="X68" s="59">
        <f t="shared" si="12"/>
        <v>32.07</v>
      </c>
      <c r="Y68" s="59">
        <f t="shared" si="12"/>
        <v>32.07</v>
      </c>
      <c r="Z68"/>
      <c r="AA68" s="59">
        <f t="shared" si="10"/>
        <v>35.549999999999997</v>
      </c>
      <c r="AB68" s="59">
        <f t="shared" si="10"/>
        <v>32.07</v>
      </c>
    </row>
    <row r="69" spans="1:28" ht="15" thickBot="1">
      <c r="A69" s="54">
        <f t="shared" si="11"/>
        <v>61</v>
      </c>
      <c r="B69" s="59">
        <f>ROUND(A!$D69*1.2,2)</f>
        <v>81.88</v>
      </c>
      <c r="C69" s="59">
        <f>A!$D69</f>
        <v>68.23</v>
      </c>
      <c r="E69" s="59">
        <f>'TW-CT_JS'!D68</f>
        <v>64.92</v>
      </c>
      <c r="F69" s="59">
        <f t="shared" si="1"/>
        <v>64.92</v>
      </c>
      <c r="G69" s="59">
        <f t="shared" si="2"/>
        <v>64.92</v>
      </c>
      <c r="I69" s="59">
        <f>IF(ROUND(ROUND(('Loonschijven_Tranches salariale'!$Q68*0.6),4)*$Y$1,2)&lt;I$8,I$8,IF('Loonschijven_Tranches salariale'!$Q68&lt;Basisbedragen!$C$28,ROUND(ROUND(('Loonschijven_Tranches salariale'!$Q68*0.6),4)*$Y$1,2),ROUND(ROUND((Basisbedragen!$C$28*0.6),4)*$Y$1,2)))</f>
        <v>65.97</v>
      </c>
      <c r="J69" s="59">
        <f>IF(ROUND(ROUND(('Loonschijven_Tranches salariale'!$Q68*0.6),4)*$Y$1,2)&lt;J$8,J$8,IF('Loonschijven_Tranches salariale'!$Q68&lt;Basisbedragen!$C$28,ROUND(ROUND(('Loonschijven_Tranches salariale'!$Q68*0.6),4)*$Y$1,2),ROUND(ROUND((Basisbedragen!$C$28*0.6),4)*$Y$1,2)))</f>
        <v>64.92</v>
      </c>
      <c r="K69" s="505">
        <f>IF(ROUND(ROUND(('Loonschijven_Tranches salariale'!$Q68*0.6),4)*$Y$1,2)&lt;K$8,K$8,IF('Loonschijven_Tranches salariale'!$Q68&lt;Basisbedragen!$C$28,ROUND(ROUND(('Loonschijven_Tranches salariale'!$Q68*0.6),4)*$Y$1,2),ROUND(ROUND((Basisbedragen!$C$28*0.6),4)*$Y$1,2)))</f>
        <v>64.92</v>
      </c>
      <c r="L69" s="519"/>
      <c r="M69" s="59">
        <f>IF(ROUND(ROUND(('Loonschijven_Tranches salariale'!$Q68*0.6),4)*$Y$1,2)&lt;M$8,M$8,IF('Loonschijven_Tranches salariale'!$Q68&lt;Basisbedragen!$C$24,ROUND(ROUND(('Loonschijven_Tranches salariale'!$Q68*0.6),4)*$Y$1,2),ROUND(ROUND((Basisbedragen!$C$24*0.6),4)*$Y$1,2)))</f>
        <v>71.099999999999994</v>
      </c>
      <c r="N69" s="59">
        <f>IF(ROUND(ROUND(('Loonschijven_Tranches salariale'!$Q68*0.6),4)*$Y$1,2)&lt;N$8,N$8,IF('Loonschijven_Tranches salariale'!$Q68&lt;Basisbedragen!$C$24,ROUND(ROUND(('Loonschijven_Tranches salariale'!$Q68*0.6),4)*$Y$1,2),ROUND(ROUND((Basisbedragen!$C$24*0.6),4)*$Y$1,2)))</f>
        <v>64.92</v>
      </c>
      <c r="P69" s="59">
        <f t="shared" si="3"/>
        <v>40.94</v>
      </c>
      <c r="Q69" s="59">
        <f t="shared" si="4"/>
        <v>34.119999999999997</v>
      </c>
      <c r="S69" s="59">
        <f>'TW-CT_JS'!N68</f>
        <v>32.46</v>
      </c>
      <c r="T69" s="59">
        <f t="shared" si="5"/>
        <v>32.46</v>
      </c>
      <c r="U69" s="59">
        <f t="shared" si="6"/>
        <v>32.46</v>
      </c>
      <c r="W69" s="59">
        <f t="shared" si="12"/>
        <v>32.99</v>
      </c>
      <c r="X69" s="59">
        <f t="shared" si="12"/>
        <v>32.46</v>
      </c>
      <c r="Y69" s="59">
        <f t="shared" si="12"/>
        <v>32.46</v>
      </c>
      <c r="Z69" s="519"/>
      <c r="AA69" s="59">
        <f t="shared" si="10"/>
        <v>35.549999999999997</v>
      </c>
      <c r="AB69" s="59">
        <f t="shared" si="10"/>
        <v>32.46</v>
      </c>
    </row>
    <row r="70" spans="1:28" ht="15" thickBot="1">
      <c r="A70" s="54">
        <f t="shared" si="11"/>
        <v>62</v>
      </c>
      <c r="B70" s="59">
        <f>ROUND(A!$D70*1.2,2)</f>
        <v>81.88</v>
      </c>
      <c r="C70" s="59">
        <f>A!$D70</f>
        <v>68.23</v>
      </c>
      <c r="E70" s="59">
        <f>'TW-CT_JS'!D69</f>
        <v>65.819999999999993</v>
      </c>
      <c r="F70" s="59">
        <f t="shared" si="1"/>
        <v>65.819999999999993</v>
      </c>
      <c r="G70" s="59">
        <f t="shared" si="2"/>
        <v>65.819999999999993</v>
      </c>
      <c r="I70" s="59">
        <f>IF(ROUND(ROUND(('Loonschijven_Tranches salariale'!$Q69*0.6),4)*$Y$1,2)&lt;I$8,I$8,IF('Loonschijven_Tranches salariale'!$Q69&lt;Basisbedragen!$C$28,ROUND(ROUND(('Loonschijven_Tranches salariale'!$Q69*0.6),4)*$Y$1,2),ROUND(ROUND((Basisbedragen!$C$28*0.6),4)*$Y$1,2)))</f>
        <v>65.97</v>
      </c>
      <c r="J70" s="59">
        <f>IF(ROUND(ROUND(('Loonschijven_Tranches salariale'!$Q69*0.6),4)*$Y$1,2)&lt;J$8,J$8,IF('Loonschijven_Tranches salariale'!$Q69&lt;Basisbedragen!$C$28,ROUND(ROUND(('Loonschijven_Tranches salariale'!$Q69*0.6),4)*$Y$1,2),ROUND(ROUND((Basisbedragen!$C$28*0.6),4)*$Y$1,2)))</f>
        <v>65.819999999999993</v>
      </c>
      <c r="K70" s="505">
        <f>IF(ROUND(ROUND(('Loonschijven_Tranches salariale'!$Q69*0.6),4)*$Y$1,2)&lt;K$8,K$8,IF('Loonschijven_Tranches salariale'!$Q69&lt;Basisbedragen!$C$28,ROUND(ROUND(('Loonschijven_Tranches salariale'!$Q69*0.6),4)*$Y$1,2),ROUND(ROUND((Basisbedragen!$C$28*0.6),4)*$Y$1,2)))</f>
        <v>65.819999999999993</v>
      </c>
      <c r="L70" s="519"/>
      <c r="M70" s="59">
        <f>IF(ROUND(ROUND(('Loonschijven_Tranches salariale'!$Q69*0.6),4)*$Y$1,2)&lt;M$8,M$8,IF('Loonschijven_Tranches salariale'!$Q69&lt;Basisbedragen!$C$24,ROUND(ROUND(('Loonschijven_Tranches salariale'!$Q69*0.6),4)*$Y$1,2),ROUND(ROUND((Basisbedragen!$C$24*0.6),4)*$Y$1,2)))</f>
        <v>71.099999999999994</v>
      </c>
      <c r="N70" s="59">
        <f>IF(ROUND(ROUND(('Loonschijven_Tranches salariale'!$Q69*0.6),4)*$Y$1,2)&lt;N$8,N$8,IF('Loonschijven_Tranches salariale'!$Q69&lt;Basisbedragen!$C$24,ROUND(ROUND(('Loonschijven_Tranches salariale'!$Q69*0.6),4)*$Y$1,2),ROUND(ROUND((Basisbedragen!$C$24*0.6),4)*$Y$1,2)))</f>
        <v>65.819999999999993</v>
      </c>
      <c r="P70" s="59">
        <f t="shared" si="3"/>
        <v>40.94</v>
      </c>
      <c r="Q70" s="59">
        <f t="shared" si="4"/>
        <v>34.119999999999997</v>
      </c>
      <c r="S70" s="59">
        <f>'TW-CT_JS'!N69</f>
        <v>32.909999999999997</v>
      </c>
      <c r="T70" s="59">
        <f t="shared" si="5"/>
        <v>32.909999999999997</v>
      </c>
      <c r="U70" s="59">
        <f t="shared" si="6"/>
        <v>32.909999999999997</v>
      </c>
      <c r="W70" s="59">
        <f t="shared" ref="W70" si="13">ROUND(I70/2,2)</f>
        <v>32.99</v>
      </c>
      <c r="X70" s="59">
        <f t="shared" ref="X70" si="14">ROUND(J70/2,2)</f>
        <v>32.909999999999997</v>
      </c>
      <c r="Y70" s="59">
        <f t="shared" ref="Y70" si="15">ROUND(K70/2,2)</f>
        <v>32.909999999999997</v>
      </c>
      <c r="Z70" s="519"/>
      <c r="AA70" s="59">
        <f t="shared" si="10"/>
        <v>35.549999999999997</v>
      </c>
      <c r="AB70" s="59">
        <f t="shared" si="10"/>
        <v>32.909999999999997</v>
      </c>
    </row>
    <row r="71" spans="1:28" ht="15" thickBot="1">
      <c r="A71" s="54">
        <f t="shared" si="11"/>
        <v>63</v>
      </c>
      <c r="B71" s="59">
        <f>ROUND(A!$D71*1.2,2)</f>
        <v>81.88</v>
      </c>
      <c r="C71" s="59">
        <f>A!$D71</f>
        <v>68.23</v>
      </c>
      <c r="E71" s="59">
        <f>'TW-CT_JS'!D70</f>
        <v>66.72</v>
      </c>
      <c r="F71" s="59">
        <f t="shared" si="1"/>
        <v>66.72</v>
      </c>
      <c r="G71" s="59">
        <f t="shared" si="2"/>
        <v>66.72</v>
      </c>
      <c r="I71" s="59">
        <f>IF(ROUND(ROUND(('Loonschijven_Tranches salariale'!$Q70*0.6),4)*$Y$1,2)&lt;I$8,I$8,IF('Loonschijven_Tranches salariale'!$Q70&lt;Basisbedragen!$C$28,ROUND(ROUND(('Loonschijven_Tranches salariale'!$Q70*0.6),4)*$Y$1,2),ROUND(ROUND((Basisbedragen!$C$28*0.6),4)*$Y$1,2)))</f>
        <v>66.400000000000006</v>
      </c>
      <c r="J71" s="59">
        <f>IF(ROUND(ROUND(('Loonschijven_Tranches salariale'!$Q70*0.6),4)*$Y$1,2)&lt;J$8,J$8,IF('Loonschijven_Tranches salariale'!$Q70&lt;Basisbedragen!$C$28,ROUND(ROUND(('Loonschijven_Tranches salariale'!$Q70*0.6),4)*$Y$1,2),ROUND(ROUND((Basisbedragen!$C$28*0.6),4)*$Y$1,2)))</f>
        <v>66.400000000000006</v>
      </c>
      <c r="K71" s="505">
        <f>IF(ROUND(ROUND(('Loonschijven_Tranches salariale'!$Q70*0.6),4)*$Y$1,2)&lt;K$8,K$8,IF('Loonschijven_Tranches salariale'!$Q70&lt;Basisbedragen!$C$28,ROUND(ROUND(('Loonschijven_Tranches salariale'!$Q70*0.6),4)*$Y$1,2),ROUND(ROUND((Basisbedragen!$C$28*0.6),4)*$Y$1,2)))</f>
        <v>66.400000000000006</v>
      </c>
      <c r="L71" s="519"/>
      <c r="M71" s="59">
        <f>IF(ROUND(ROUND(('Loonschijven_Tranches salariale'!$Q70*0.6),4)*$Y$1,2)&lt;M$8,M$8,IF('Loonschijven_Tranches salariale'!$Q70&lt;Basisbedragen!$C$24,ROUND(ROUND(('Loonschijven_Tranches salariale'!$Q70*0.6),4)*$Y$1,2),ROUND(ROUND((Basisbedragen!$C$24*0.6),4)*$Y$1,2)))</f>
        <v>71.099999999999994</v>
      </c>
      <c r="N71" s="59">
        <f>IF(ROUND(ROUND(('Loonschijven_Tranches salariale'!$Q70*0.6),4)*$Y$1,2)&lt;N$8,N$8,IF('Loonschijven_Tranches salariale'!$Q70&lt;Basisbedragen!$C$24,ROUND(ROUND(('Loonschijven_Tranches salariale'!$Q70*0.6),4)*$Y$1,2),ROUND(ROUND((Basisbedragen!$C$24*0.6),4)*$Y$1,2)))</f>
        <v>66.72</v>
      </c>
      <c r="P71" s="59">
        <f t="shared" si="3"/>
        <v>40.94</v>
      </c>
      <c r="Q71" s="59">
        <f t="shared" si="4"/>
        <v>34.119999999999997</v>
      </c>
      <c r="S71" s="59">
        <f>'TW-CT_JS'!N70</f>
        <v>33.36</v>
      </c>
      <c r="T71" s="59">
        <f t="shared" si="5"/>
        <v>33.36</v>
      </c>
      <c r="U71" s="59">
        <f t="shared" si="6"/>
        <v>33.36</v>
      </c>
      <c r="W71" s="59">
        <f t="shared" ref="W71" si="16">ROUND(I71/2,2)</f>
        <v>33.200000000000003</v>
      </c>
      <c r="X71" s="59">
        <f t="shared" ref="X71" si="17">ROUND(J71/2,2)</f>
        <v>33.200000000000003</v>
      </c>
      <c r="Y71" s="59">
        <f t="shared" ref="Y71" si="18">ROUND(K71/2,2)</f>
        <v>33.200000000000003</v>
      </c>
      <c r="Z71" s="519"/>
      <c r="AA71" s="59">
        <f t="shared" si="10"/>
        <v>35.549999999999997</v>
      </c>
      <c r="AB71" s="59">
        <f t="shared" si="10"/>
        <v>33.36</v>
      </c>
    </row>
    <row r="72" spans="1:28" ht="15" thickBot="1">
      <c r="A72" s="54">
        <f t="shared" si="11"/>
        <v>64</v>
      </c>
      <c r="B72" s="59">
        <f>ROUND(A!$D72*1.2,2)</f>
        <v>81.88</v>
      </c>
      <c r="C72" s="59">
        <f>A!$D72</f>
        <v>68.23</v>
      </c>
      <c r="E72" s="59">
        <f>'TW-CT_JS'!D71</f>
        <v>67.78</v>
      </c>
      <c r="F72" s="59">
        <f t="shared" si="1"/>
        <v>67.78</v>
      </c>
      <c r="G72" s="59">
        <f t="shared" si="2"/>
        <v>67.78</v>
      </c>
      <c r="M72" s="59">
        <f>IF(ROUND(ROUND(('Loonschijven_Tranches salariale'!$Q71*0.6),4)*$Y$1,2)&lt;M$8,M$8,IF('Loonschijven_Tranches salariale'!$Q71&lt;Basisbedragen!$C$24,ROUND(ROUND(('Loonschijven_Tranches salariale'!$Q71*0.6),4)*$Y$1,2),ROUND(ROUND((Basisbedragen!$C$24*0.6),4)*$Y$1,2)))</f>
        <v>71.099999999999994</v>
      </c>
      <c r="N72" s="59">
        <f>IF(ROUND(ROUND(('Loonschijven_Tranches salariale'!$Q71*0.6),4)*$Y$1,2)&lt;N$8,N$8,IF('Loonschijven_Tranches salariale'!$Q71&lt;Basisbedragen!$C$24,ROUND(ROUND(('Loonschijven_Tranches salariale'!$Q71*0.6),4)*$Y$1,2),ROUND(ROUND((Basisbedragen!$C$24*0.6),4)*$Y$1,2)))</f>
        <v>67.78</v>
      </c>
      <c r="P72" s="59">
        <f t="shared" si="3"/>
        <v>40.94</v>
      </c>
      <c r="Q72" s="59">
        <f t="shared" si="4"/>
        <v>34.119999999999997</v>
      </c>
      <c r="S72" s="59">
        <f>'TW-CT_JS'!N71</f>
        <v>33.89</v>
      </c>
      <c r="T72" s="59">
        <f t="shared" si="5"/>
        <v>33.89</v>
      </c>
      <c r="U72" s="59">
        <f t="shared" si="6"/>
        <v>33.89</v>
      </c>
      <c r="AA72" s="59">
        <f t="shared" si="10"/>
        <v>35.549999999999997</v>
      </c>
      <c r="AB72" s="59">
        <f t="shared" si="10"/>
        <v>33.89</v>
      </c>
    </row>
    <row r="73" spans="1:28" ht="15" thickBot="1">
      <c r="A73" s="54">
        <f t="shared" si="11"/>
        <v>65</v>
      </c>
      <c r="B73" s="59">
        <f>ROUND(A!$D73*1.2,2)</f>
        <v>82.36</v>
      </c>
      <c r="C73" s="59">
        <f>A!$D73</f>
        <v>68.63</v>
      </c>
      <c r="E73" s="59">
        <f>'TW-CT_JS'!D72</f>
        <v>68.63</v>
      </c>
      <c r="F73" s="59">
        <f t="shared" si="1"/>
        <v>68.63</v>
      </c>
      <c r="G73" s="59">
        <f t="shared" si="2"/>
        <v>68.63</v>
      </c>
      <c r="M73" s="59">
        <f>IF(ROUND(ROUND(('Loonschijven_Tranches salariale'!$Q72*0.6),4)*$Y$1,2)&lt;M$8,M$8,IF('Loonschijven_Tranches salariale'!$Q72&lt;Basisbedragen!$C$24,ROUND(ROUND(('Loonschijven_Tranches salariale'!$Q72*0.6),4)*$Y$1,2),ROUND(ROUND((Basisbedragen!$C$24*0.6),4)*$Y$1,2)))</f>
        <v>71.099999999999994</v>
      </c>
      <c r="N73" s="59">
        <f>IF(ROUND(ROUND(('Loonschijven_Tranches salariale'!$Q72*0.6),4)*$Y$1,2)&lt;N$8,N$8,IF('Loonschijven_Tranches salariale'!$Q72&lt;Basisbedragen!$C$24,ROUND(ROUND(('Loonschijven_Tranches salariale'!$Q72*0.6),4)*$Y$1,2),ROUND(ROUND((Basisbedragen!$C$24*0.6),4)*$Y$1,2)))</f>
        <v>68.63</v>
      </c>
      <c r="P73" s="59">
        <f t="shared" si="3"/>
        <v>41.18</v>
      </c>
      <c r="Q73" s="59">
        <f t="shared" si="4"/>
        <v>34.32</v>
      </c>
      <c r="S73" s="59">
        <f>'TW-CT_JS'!N72</f>
        <v>34.32</v>
      </c>
      <c r="T73" s="59">
        <f t="shared" si="5"/>
        <v>34.32</v>
      </c>
      <c r="U73" s="59">
        <f t="shared" si="6"/>
        <v>34.32</v>
      </c>
      <c r="AA73" s="59">
        <f t="shared" si="10"/>
        <v>35.549999999999997</v>
      </c>
      <c r="AB73" s="59">
        <f t="shared" si="10"/>
        <v>34.32</v>
      </c>
    </row>
    <row r="74" spans="1:28" ht="15" thickBot="1">
      <c r="A74" s="54">
        <f t="shared" si="11"/>
        <v>66</v>
      </c>
      <c r="B74" s="59">
        <f>ROUND(A!$D74*1.2,2)</f>
        <v>83.32</v>
      </c>
      <c r="C74" s="59">
        <f>A!$D74</f>
        <v>69.430000000000007</v>
      </c>
      <c r="E74" s="59">
        <f>'TW-CT_JS'!D73</f>
        <v>69.430000000000007</v>
      </c>
      <c r="F74" s="59">
        <f t="shared" ref="F74:F86" si="19">E74</f>
        <v>69.430000000000007</v>
      </c>
      <c r="G74" s="59">
        <f t="shared" ref="G74:G86" si="20">E74</f>
        <v>69.430000000000007</v>
      </c>
      <c r="M74" s="59">
        <f>IF(ROUND(ROUND(('Loonschijven_Tranches salariale'!$Q73*0.6),4)*$Y$1,2)&lt;M$8,M$8,IF('Loonschijven_Tranches salariale'!$Q73&lt;Basisbedragen!$C$24,ROUND(ROUND(('Loonschijven_Tranches salariale'!$Q73*0.6),4)*$Y$1,2),ROUND(ROUND((Basisbedragen!$C$24*0.6),4)*$Y$1,2)))</f>
        <v>71.099999999999994</v>
      </c>
      <c r="N74" s="59">
        <f>IF(ROUND(ROUND(('Loonschijven_Tranches salariale'!$Q73*0.6),4)*$Y$1,2)&lt;N$8,N$8,IF('Loonschijven_Tranches salariale'!$Q73&lt;Basisbedragen!$C$24,ROUND(ROUND(('Loonschijven_Tranches salariale'!$Q73*0.6),4)*$Y$1,2),ROUND(ROUND((Basisbedragen!$C$24*0.6),4)*$Y$1,2)))</f>
        <v>69.430000000000007</v>
      </c>
      <c r="P74" s="59">
        <f t="shared" ref="P74:P80" si="21">ROUND(B74/2,2)</f>
        <v>41.66</v>
      </c>
      <c r="Q74" s="59">
        <f t="shared" ref="Q74:Q80" si="22">ROUND(C74/2,2)</f>
        <v>34.72</v>
      </c>
      <c r="S74" s="59">
        <f>'TW-CT_JS'!N73</f>
        <v>34.72</v>
      </c>
      <c r="T74" s="59">
        <f t="shared" ref="T74:T86" si="23">S74</f>
        <v>34.72</v>
      </c>
      <c r="U74" s="59">
        <f t="shared" ref="U74:U86" si="24">S74</f>
        <v>34.72</v>
      </c>
      <c r="AA74" s="59">
        <f t="shared" ref="AA74:AB86" si="25">ROUND(M74/2,2)</f>
        <v>35.549999999999997</v>
      </c>
      <c r="AB74" s="59">
        <f t="shared" si="25"/>
        <v>34.72</v>
      </c>
    </row>
    <row r="75" spans="1:28" ht="15" thickBot="1">
      <c r="A75" s="54">
        <f t="shared" ref="A75:A82" si="26">A74+1</f>
        <v>67</v>
      </c>
      <c r="B75" s="59">
        <f>ROUND(A!$D75*1.2,2)</f>
        <v>84.4</v>
      </c>
      <c r="C75" s="59">
        <f>A!$D75</f>
        <v>70.33</v>
      </c>
      <c r="E75" s="59">
        <f>'TW-CT_JS'!D74</f>
        <v>70.33</v>
      </c>
      <c r="F75" s="59">
        <f t="shared" si="19"/>
        <v>70.33</v>
      </c>
      <c r="G75" s="59">
        <f t="shared" si="20"/>
        <v>70.33</v>
      </c>
      <c r="M75" s="59">
        <f>IF(ROUND(ROUND(('Loonschijven_Tranches salariale'!$Q74*0.6),4)*$Y$1,2)&lt;M$8,M$8,IF('Loonschijven_Tranches salariale'!$Q74&lt;Basisbedragen!$C$24,ROUND(ROUND(('Loonschijven_Tranches salariale'!$Q74*0.6),4)*$Y$1,2),ROUND(ROUND((Basisbedragen!$C$24*0.6),4)*$Y$1,2)))</f>
        <v>71.099999999999994</v>
      </c>
      <c r="N75" s="59">
        <f>IF(ROUND(ROUND(('Loonschijven_Tranches salariale'!$Q74*0.6),4)*$Y$1,2)&lt;N$8,N$8,IF('Loonschijven_Tranches salariale'!$Q74&lt;Basisbedragen!$C$24,ROUND(ROUND(('Loonschijven_Tranches salariale'!$Q74*0.6),4)*$Y$1,2),ROUND(ROUND((Basisbedragen!$C$24*0.6),4)*$Y$1,2)))</f>
        <v>70.33</v>
      </c>
      <c r="P75" s="59">
        <f t="shared" si="21"/>
        <v>42.2</v>
      </c>
      <c r="Q75" s="59">
        <f t="shared" si="22"/>
        <v>35.17</v>
      </c>
      <c r="S75" s="59">
        <f>'TW-CT_JS'!N74</f>
        <v>35.17</v>
      </c>
      <c r="T75" s="59">
        <f t="shared" si="23"/>
        <v>35.17</v>
      </c>
      <c r="U75" s="59">
        <f t="shared" si="24"/>
        <v>35.17</v>
      </c>
      <c r="AA75" s="59">
        <f t="shared" si="25"/>
        <v>35.549999999999997</v>
      </c>
      <c r="AB75" s="59">
        <f t="shared" si="25"/>
        <v>35.17</v>
      </c>
    </row>
    <row r="76" spans="1:28" ht="15" thickBot="1">
      <c r="A76" s="54">
        <f t="shared" si="26"/>
        <v>68</v>
      </c>
      <c r="B76" s="59">
        <f>ROUND(A!$D76*1.2,2)</f>
        <v>85.48</v>
      </c>
      <c r="C76" s="59">
        <f>A!$D76</f>
        <v>71.23</v>
      </c>
      <c r="E76" s="59">
        <f>'TW-CT_JS'!D75</f>
        <v>71.23</v>
      </c>
      <c r="F76" s="59">
        <f t="shared" si="19"/>
        <v>71.23</v>
      </c>
      <c r="G76" s="59">
        <f t="shared" si="20"/>
        <v>71.23</v>
      </c>
      <c r="M76" s="59">
        <f>IF(ROUND(ROUND(('Loonschijven_Tranches salariale'!$Q75*0.6),4)*$Y$1,2)&lt;M$8,M$8,IF('Loonschijven_Tranches salariale'!$Q75&lt;Basisbedragen!$C$24,ROUND(ROUND(('Loonschijven_Tranches salariale'!$Q75*0.6),4)*$Y$1,2),ROUND(ROUND((Basisbedragen!$C$24*0.6),4)*$Y$1,2)))</f>
        <v>71.23</v>
      </c>
      <c r="N76" s="59">
        <f>IF(ROUND(ROUND(('Loonschijven_Tranches salariale'!$Q75*0.6),4)*$Y$1,2)&lt;N$8,N$8,IF('Loonschijven_Tranches salariale'!$Q75&lt;Basisbedragen!$C$24,ROUND(ROUND(('Loonschijven_Tranches salariale'!$Q75*0.6),4)*$Y$1,2),ROUND(ROUND((Basisbedragen!$C$24*0.6),4)*$Y$1,2)))</f>
        <v>71.23</v>
      </c>
      <c r="P76" s="59">
        <f t="shared" si="21"/>
        <v>42.74</v>
      </c>
      <c r="Q76" s="59">
        <f t="shared" si="22"/>
        <v>35.619999999999997</v>
      </c>
      <c r="S76" s="59">
        <f>'TW-CT_JS'!N75</f>
        <v>35.619999999999997</v>
      </c>
      <c r="T76" s="59">
        <f t="shared" si="23"/>
        <v>35.619999999999997</v>
      </c>
      <c r="U76" s="59">
        <f t="shared" si="24"/>
        <v>35.619999999999997</v>
      </c>
      <c r="AA76" s="59">
        <f t="shared" si="25"/>
        <v>35.619999999999997</v>
      </c>
      <c r="AB76" s="59">
        <f t="shared" si="25"/>
        <v>35.619999999999997</v>
      </c>
    </row>
    <row r="77" spans="1:28" ht="15" thickBot="1">
      <c r="A77" s="54">
        <f t="shared" si="26"/>
        <v>69</v>
      </c>
      <c r="B77" s="59">
        <f>ROUND(A!$D77*1.2,2)</f>
        <v>86.56</v>
      </c>
      <c r="C77" s="59">
        <f>A!$D77</f>
        <v>72.13</v>
      </c>
      <c r="E77" s="59">
        <f>'TW-CT_JS'!D76</f>
        <v>72.13</v>
      </c>
      <c r="F77" s="59">
        <f t="shared" si="19"/>
        <v>72.13</v>
      </c>
      <c r="G77" s="59">
        <f t="shared" si="20"/>
        <v>72.13</v>
      </c>
      <c r="M77" s="59">
        <f>IF(ROUND(ROUND(('Loonschijven_Tranches salariale'!$Q76*0.6),4)*$Y$1,2)&lt;M$8,M$8,IF('Loonschijven_Tranches salariale'!$Q76&lt;Basisbedragen!$C$24,ROUND(ROUND(('Loonschijven_Tranches salariale'!$Q76*0.6),4)*$Y$1,2),ROUND(ROUND((Basisbedragen!$C$24*0.6),4)*$Y$1,2)))</f>
        <v>72.13</v>
      </c>
      <c r="N77" s="59">
        <f>IF(ROUND(ROUND(('Loonschijven_Tranches salariale'!$Q76*0.6),4)*$Y$1,2)&lt;N$8,N$8,IF('Loonschijven_Tranches salariale'!$Q76&lt;Basisbedragen!$C$24,ROUND(ROUND(('Loonschijven_Tranches salariale'!$Q76*0.6),4)*$Y$1,2),ROUND(ROUND((Basisbedragen!$C$24*0.6),4)*$Y$1,2)))</f>
        <v>72.13</v>
      </c>
      <c r="P77" s="59">
        <f t="shared" si="21"/>
        <v>43.28</v>
      </c>
      <c r="Q77" s="59">
        <f t="shared" si="22"/>
        <v>36.07</v>
      </c>
      <c r="S77" s="59">
        <f>'TW-CT_JS'!N76</f>
        <v>36.07</v>
      </c>
      <c r="T77" s="59">
        <f t="shared" si="23"/>
        <v>36.07</v>
      </c>
      <c r="U77" s="59">
        <f t="shared" si="24"/>
        <v>36.07</v>
      </c>
      <c r="AA77" s="59">
        <f t="shared" si="25"/>
        <v>36.07</v>
      </c>
      <c r="AB77" s="59">
        <f t="shared" si="25"/>
        <v>36.07</v>
      </c>
    </row>
    <row r="78" spans="1:28" ht="15" thickBot="1">
      <c r="A78" s="54">
        <f t="shared" si="26"/>
        <v>70</v>
      </c>
      <c r="B78" s="59">
        <f>ROUND(A!$D78*1.2,2)</f>
        <v>87.26</v>
      </c>
      <c r="C78" s="59">
        <f>A!$D78</f>
        <v>72.72</v>
      </c>
      <c r="E78" s="59">
        <f>'TW-CT_JS'!D77</f>
        <v>72.72</v>
      </c>
      <c r="F78" s="59">
        <f t="shared" si="19"/>
        <v>72.72</v>
      </c>
      <c r="G78" s="59">
        <f t="shared" si="20"/>
        <v>72.72</v>
      </c>
      <c r="M78" s="59">
        <f>IF(ROUND(ROUND(('Loonschijven_Tranches salariale'!$Q77*0.6),4)*$Y$1,2)&lt;M$8,M$8,IF('Loonschijven_Tranches salariale'!$Q77&lt;Basisbedragen!$C$24,ROUND(ROUND(('Loonschijven_Tranches salariale'!$Q77*0.6),4)*$Y$1,2),ROUND(ROUND((Basisbedragen!$C$24*0.6),4)*$Y$1,2)))</f>
        <v>72.72</v>
      </c>
      <c r="N78" s="59">
        <f>IF(ROUND(ROUND(('Loonschijven_Tranches salariale'!$Q77*0.6),4)*$Y$1,2)&lt;N$8,N$8,IF('Loonschijven_Tranches salariale'!$Q77&lt;Basisbedragen!$C$24,ROUND(ROUND(('Loonschijven_Tranches salariale'!$Q77*0.6),4)*$Y$1,2),ROUND(ROUND((Basisbedragen!$C$24*0.6),4)*$Y$1,2)))</f>
        <v>72.72</v>
      </c>
      <c r="P78" s="59">
        <f t="shared" si="21"/>
        <v>43.63</v>
      </c>
      <c r="Q78" s="59">
        <f t="shared" si="22"/>
        <v>36.36</v>
      </c>
      <c r="S78" s="59">
        <f>'TW-CT_JS'!N77</f>
        <v>36.36</v>
      </c>
      <c r="T78" s="59">
        <f t="shared" si="23"/>
        <v>36.36</v>
      </c>
      <c r="U78" s="59">
        <f t="shared" si="24"/>
        <v>36.36</v>
      </c>
      <c r="AA78" s="59">
        <f t="shared" si="25"/>
        <v>36.36</v>
      </c>
      <c r="AB78" s="59">
        <f t="shared" si="25"/>
        <v>36.36</v>
      </c>
    </row>
    <row r="79" spans="1:28" ht="15" thickBot="1">
      <c r="A79" s="54">
        <f t="shared" si="26"/>
        <v>71</v>
      </c>
      <c r="B79" s="59">
        <f>ROUND(A!$D79*1.2,2)</f>
        <v>87.82</v>
      </c>
      <c r="C79" s="59">
        <f>A!$D79</f>
        <v>73.180000000000007</v>
      </c>
      <c r="E79" s="59">
        <f>'TW-CT_JS'!D78</f>
        <v>73.180000000000007</v>
      </c>
      <c r="F79" s="59">
        <f t="shared" si="19"/>
        <v>73.180000000000007</v>
      </c>
      <c r="G79" s="59">
        <f t="shared" si="20"/>
        <v>73.180000000000007</v>
      </c>
      <c r="M79" s="59">
        <f>IF(ROUND(ROUND(('Loonschijven_Tranches salariale'!$Q78*0.6),4)*$Y$1,2)&lt;M$8,M$8,IF('Loonschijven_Tranches salariale'!$Q78&lt;Basisbedragen!$C$24,ROUND(ROUND(('Loonschijven_Tranches salariale'!$Q78*0.6),4)*$Y$1,2),ROUND(ROUND((Basisbedragen!$C$24*0.6),4)*$Y$1,2)))</f>
        <v>73.180000000000007</v>
      </c>
      <c r="N79" s="59">
        <f>IF(ROUND(ROUND(('Loonschijven_Tranches salariale'!$Q78*0.6),4)*$Y$1,2)&lt;N$8,N$8,IF('Loonschijven_Tranches salariale'!$Q78&lt;Basisbedragen!$C$24,ROUND(ROUND(('Loonschijven_Tranches salariale'!$Q78*0.6),4)*$Y$1,2),ROUND(ROUND((Basisbedragen!$C$24*0.6),4)*$Y$1,2)))</f>
        <v>73.180000000000007</v>
      </c>
      <c r="P79" s="59">
        <f t="shared" si="21"/>
        <v>43.91</v>
      </c>
      <c r="Q79" s="59">
        <f t="shared" si="22"/>
        <v>36.590000000000003</v>
      </c>
      <c r="S79" s="59">
        <f>'TW-CT_JS'!N78</f>
        <v>36.590000000000003</v>
      </c>
      <c r="T79" s="59">
        <f t="shared" si="23"/>
        <v>36.590000000000003</v>
      </c>
      <c r="U79" s="59">
        <f t="shared" si="24"/>
        <v>36.590000000000003</v>
      </c>
      <c r="AA79" s="59">
        <f t="shared" si="25"/>
        <v>36.590000000000003</v>
      </c>
      <c r="AB79" s="59">
        <f t="shared" si="25"/>
        <v>36.590000000000003</v>
      </c>
    </row>
    <row r="80" spans="1:28" ht="15" thickBot="1">
      <c r="A80" s="54">
        <f t="shared" si="26"/>
        <v>72</v>
      </c>
      <c r="B80" s="59">
        <f>ROUND(A!$D80*1.2,2)</f>
        <v>88.36</v>
      </c>
      <c r="C80" s="59">
        <f>A!$D80</f>
        <v>73.63</v>
      </c>
      <c r="E80" s="59">
        <f>'TW-CT_JS'!D79</f>
        <v>73.63</v>
      </c>
      <c r="F80" s="59">
        <f t="shared" si="19"/>
        <v>73.63</v>
      </c>
      <c r="G80" s="59">
        <f t="shared" si="20"/>
        <v>73.63</v>
      </c>
      <c r="M80" s="59">
        <f>IF(ROUND(ROUND(('Loonschijven_Tranches salariale'!$Q79*0.6),4)*$Y$1,2)&lt;M$8,M$8,IF('Loonschijven_Tranches salariale'!$Q79&lt;Basisbedragen!$C$24,ROUND(ROUND(('Loonschijven_Tranches salariale'!$Q79*0.6),4)*$Y$1,2),ROUND(ROUND((Basisbedragen!$C$24*0.6),4)*$Y$1,2)))</f>
        <v>73.63</v>
      </c>
      <c r="N80" s="59">
        <f>IF(ROUND(ROUND(('Loonschijven_Tranches salariale'!$Q79*0.6),4)*$Y$1,2)&lt;N$8,N$8,IF('Loonschijven_Tranches salariale'!$Q79&lt;Basisbedragen!$C$24,ROUND(ROUND(('Loonschijven_Tranches salariale'!$Q79*0.6),4)*$Y$1,2),ROUND(ROUND((Basisbedragen!$C$24*0.6),4)*$Y$1,2)))</f>
        <v>73.63</v>
      </c>
      <c r="P80" s="59">
        <f t="shared" si="21"/>
        <v>44.18</v>
      </c>
      <c r="Q80" s="59">
        <f t="shared" si="22"/>
        <v>36.82</v>
      </c>
      <c r="S80" s="59">
        <f>'TW-CT_JS'!N79</f>
        <v>36.82</v>
      </c>
      <c r="T80" s="59">
        <f t="shared" si="23"/>
        <v>36.82</v>
      </c>
      <c r="U80" s="59">
        <f t="shared" si="24"/>
        <v>36.82</v>
      </c>
      <c r="AA80" s="59">
        <f t="shared" si="25"/>
        <v>36.82</v>
      </c>
      <c r="AB80" s="59">
        <f t="shared" si="25"/>
        <v>36.82</v>
      </c>
    </row>
    <row r="81" spans="1:28" ht="15" thickBot="1">
      <c r="A81" s="54">
        <f t="shared" si="26"/>
        <v>73</v>
      </c>
      <c r="B81" s="59">
        <f>ROUND(A!$D81*1.2,2)</f>
        <v>89.58</v>
      </c>
      <c r="C81" s="59">
        <f>A!$D81</f>
        <v>74.650000000000006</v>
      </c>
      <c r="E81" s="59">
        <f>'TW-CT_JS'!D80</f>
        <v>74.650000000000006</v>
      </c>
      <c r="F81" s="59">
        <f t="shared" si="19"/>
        <v>74.650000000000006</v>
      </c>
      <c r="G81" s="59">
        <f t="shared" si="20"/>
        <v>74.650000000000006</v>
      </c>
      <c r="M81" s="59">
        <f>IF(ROUND(ROUND(('Loonschijven_Tranches salariale'!$Q80*0.6),4)*$Y$1,2)&lt;M$8,M$8,IF('Loonschijven_Tranches salariale'!$Q80&lt;Basisbedragen!$C$24,ROUND(ROUND(('Loonschijven_Tranches salariale'!$Q80*0.6),4)*$Y$1,2),ROUND(ROUND((Basisbedragen!$C$24*0.6),4)*$Y$1,2)))</f>
        <v>73.819999999999993</v>
      </c>
      <c r="N81" s="59">
        <f>IF(ROUND(ROUND(('Loonschijven_Tranches salariale'!$Q80*0.6),4)*$Y$1,2)&lt;N$8,N$8,IF('Loonschijven_Tranches salariale'!$Q80&lt;Basisbedragen!$C$24,ROUND(ROUND(('Loonschijven_Tranches salariale'!$Q80*0.6),4)*$Y$1,2),ROUND(ROUND((Basisbedragen!$C$24*0.6),4)*$Y$1,2)))</f>
        <v>73.819999999999993</v>
      </c>
      <c r="P81" s="59">
        <f t="shared" ref="P81:Q84" si="27">ROUND(B81/2,2)</f>
        <v>44.79</v>
      </c>
      <c r="Q81" s="59">
        <f t="shared" si="27"/>
        <v>37.33</v>
      </c>
      <c r="S81" s="59">
        <f>'TW-CT_JS'!N80</f>
        <v>37.33</v>
      </c>
      <c r="T81" s="59">
        <f t="shared" si="23"/>
        <v>37.33</v>
      </c>
      <c r="U81" s="59">
        <f t="shared" si="24"/>
        <v>37.33</v>
      </c>
      <c r="AA81" s="59">
        <f t="shared" si="25"/>
        <v>36.909999999999997</v>
      </c>
      <c r="AB81" s="59">
        <f t="shared" si="25"/>
        <v>36.909999999999997</v>
      </c>
    </row>
    <row r="82" spans="1:28" ht="15" thickBot="1">
      <c r="A82" s="54">
        <f t="shared" si="26"/>
        <v>74</v>
      </c>
      <c r="B82" s="59">
        <f>ROUND(A!$D82*1.2,2)</f>
        <v>90.12</v>
      </c>
      <c r="C82" s="59">
        <f>A!$D82</f>
        <v>75.099999999999994</v>
      </c>
      <c r="E82" s="59">
        <f>'TW-CT_JS'!D81</f>
        <v>75.099999999999994</v>
      </c>
      <c r="F82" s="59">
        <f t="shared" si="19"/>
        <v>75.099999999999994</v>
      </c>
      <c r="G82" s="59">
        <f t="shared" si="20"/>
        <v>75.099999999999994</v>
      </c>
      <c r="M82" s="59">
        <f>IF(ROUND(ROUND(('Loonschijven_Tranches salariale'!$Q81*0.6),4)*$Y$1,2)&lt;M$8,M$8,IF('Loonschijven_Tranches salariale'!$Q81&lt;Basisbedragen!$C$24,ROUND(ROUND(('Loonschijven_Tranches salariale'!$Q81*0.6),4)*$Y$1,2),ROUND(ROUND((Basisbedragen!$C$24*0.6),4)*$Y$1,2)))</f>
        <v>73.819999999999993</v>
      </c>
      <c r="N82" s="59">
        <f>IF(ROUND(ROUND(('Loonschijven_Tranches salariale'!$Q81*0.6),4)*$Y$1,2)&lt;N$8,N$8,IF('Loonschijven_Tranches salariale'!$Q81&lt;Basisbedragen!$C$24,ROUND(ROUND(('Loonschijven_Tranches salariale'!$Q81*0.6),4)*$Y$1,2),ROUND(ROUND((Basisbedragen!$C$24*0.6),4)*$Y$1,2)))</f>
        <v>73.819999999999993</v>
      </c>
      <c r="P82" s="59">
        <f t="shared" si="27"/>
        <v>45.06</v>
      </c>
      <c r="Q82" s="59">
        <f t="shared" si="27"/>
        <v>37.549999999999997</v>
      </c>
      <c r="S82" s="59">
        <f>'TW-CT_JS'!N81</f>
        <v>37.549999999999997</v>
      </c>
      <c r="T82" s="59">
        <f t="shared" si="23"/>
        <v>37.549999999999997</v>
      </c>
      <c r="U82" s="59">
        <f t="shared" si="24"/>
        <v>37.549999999999997</v>
      </c>
      <c r="AA82" s="59">
        <f t="shared" si="25"/>
        <v>36.909999999999997</v>
      </c>
      <c r="AB82" s="59">
        <f t="shared" si="25"/>
        <v>36.909999999999997</v>
      </c>
    </row>
    <row r="83" spans="1:28" ht="15" thickBot="1">
      <c r="A83" s="54">
        <f>A82+1</f>
        <v>75</v>
      </c>
      <c r="B83" s="59">
        <f>ROUND(A!$D83*1.2,2)</f>
        <v>91.25</v>
      </c>
      <c r="C83" s="59">
        <f>A!$D83</f>
        <v>76.040000000000006</v>
      </c>
      <c r="E83" s="59">
        <f>'TW-CT_JS'!D82</f>
        <v>76.040000000000006</v>
      </c>
      <c r="F83" s="59">
        <f t="shared" si="19"/>
        <v>76.040000000000006</v>
      </c>
      <c r="G83" s="59">
        <f t="shared" si="20"/>
        <v>76.040000000000006</v>
      </c>
      <c r="M83" s="59">
        <f>IF(ROUND(ROUND(('Loonschijven_Tranches salariale'!$Q82*0.6),4)*$Y$1,2)&lt;M$8,M$8,IF('Loonschijven_Tranches salariale'!$Q82&lt;Basisbedragen!$C$24,ROUND(ROUND(('Loonschijven_Tranches salariale'!$Q82*0.6),4)*$Y$1,2),ROUND(ROUND((Basisbedragen!$C$24*0.6),4)*$Y$1,2)))</f>
        <v>73.819999999999993</v>
      </c>
      <c r="N83" s="59">
        <f>IF(ROUND(ROUND(('Loonschijven_Tranches salariale'!$Q82*0.6),4)*$Y$1,2)&lt;N$8,N$8,IF('Loonschijven_Tranches salariale'!$Q82&lt;Basisbedragen!$C$24,ROUND(ROUND(('Loonschijven_Tranches salariale'!$Q82*0.6),4)*$Y$1,2),ROUND(ROUND((Basisbedragen!$C$24*0.6),4)*$Y$1,2)))</f>
        <v>73.819999999999993</v>
      </c>
      <c r="P83" s="59">
        <f t="shared" si="27"/>
        <v>45.63</v>
      </c>
      <c r="Q83" s="59">
        <f t="shared" si="27"/>
        <v>38.020000000000003</v>
      </c>
      <c r="S83" s="59">
        <f>'TW-CT_JS'!N82</f>
        <v>38.020000000000003</v>
      </c>
      <c r="T83" s="59">
        <f t="shared" si="23"/>
        <v>38.020000000000003</v>
      </c>
      <c r="U83" s="59">
        <f t="shared" si="24"/>
        <v>38.020000000000003</v>
      </c>
      <c r="AA83" s="59">
        <f t="shared" si="25"/>
        <v>36.909999999999997</v>
      </c>
      <c r="AB83" s="59">
        <f t="shared" si="25"/>
        <v>36.909999999999997</v>
      </c>
    </row>
    <row r="84" spans="1:28" ht="15" thickBot="1">
      <c r="A84" s="54">
        <f>A83+1</f>
        <v>76</v>
      </c>
      <c r="B84" s="59">
        <f>ROUND(A!$D84*1.2,2)</f>
        <v>91.98</v>
      </c>
      <c r="C84" s="59">
        <f>A!$D84</f>
        <v>76.650000000000006</v>
      </c>
      <c r="E84" s="59">
        <f>'TW-CT_JS'!D83</f>
        <v>76.650000000000006</v>
      </c>
      <c r="F84" s="59">
        <f t="shared" si="19"/>
        <v>76.650000000000006</v>
      </c>
      <c r="G84" s="59">
        <f t="shared" si="20"/>
        <v>76.650000000000006</v>
      </c>
      <c r="M84" s="59">
        <f>IF(ROUND(ROUND(('Loonschijven_Tranches salariale'!$Q83*0.6),4)*$Y$1,2)&lt;M$8,M$8,IF('Loonschijven_Tranches salariale'!$Q83&lt;Basisbedragen!$C$24,ROUND(ROUND(('Loonschijven_Tranches salariale'!$Q83*0.6),4)*$Y$1,2),ROUND(ROUND((Basisbedragen!$C$24*0.6),4)*$Y$1,2)))</f>
        <v>73.819999999999993</v>
      </c>
      <c r="N84" s="59">
        <f>IF(ROUND(ROUND(('Loonschijven_Tranches salariale'!$Q83*0.6),4)*$Y$1,2)&lt;N$8,N$8,IF('Loonschijven_Tranches salariale'!$Q83&lt;Basisbedragen!$C$24,ROUND(ROUND(('Loonschijven_Tranches salariale'!$Q83*0.6),4)*$Y$1,2),ROUND(ROUND((Basisbedragen!$C$24*0.6),4)*$Y$1,2)))</f>
        <v>73.819999999999993</v>
      </c>
      <c r="P84" s="59">
        <f t="shared" si="27"/>
        <v>45.99</v>
      </c>
      <c r="Q84" s="59">
        <f t="shared" si="27"/>
        <v>38.33</v>
      </c>
      <c r="S84" s="59">
        <f>'TW-CT_JS'!N83</f>
        <v>38.33</v>
      </c>
      <c r="T84" s="59">
        <f t="shared" si="23"/>
        <v>38.33</v>
      </c>
      <c r="U84" s="59">
        <f t="shared" si="24"/>
        <v>38.33</v>
      </c>
      <c r="AA84" s="59">
        <f t="shared" si="25"/>
        <v>36.909999999999997</v>
      </c>
      <c r="AB84" s="59">
        <f t="shared" si="25"/>
        <v>36.909999999999997</v>
      </c>
    </row>
    <row r="85" spans="1:28" ht="15" thickBot="1">
      <c r="A85" s="54">
        <f>A84+1</f>
        <v>77</v>
      </c>
      <c r="B85" s="59">
        <f>ROUND(A!$D85*1.2,2)</f>
        <v>92.99</v>
      </c>
      <c r="C85" s="59">
        <f>A!$D85</f>
        <v>77.489999999999995</v>
      </c>
      <c r="E85" s="59">
        <f>'TW-CT_JS'!D84</f>
        <v>77.489999999999995</v>
      </c>
      <c r="F85" s="59">
        <f t="shared" si="19"/>
        <v>77.489999999999995</v>
      </c>
      <c r="G85" s="59">
        <f t="shared" si="20"/>
        <v>77.489999999999995</v>
      </c>
      <c r="M85" s="59">
        <f>IF(ROUND(ROUND(('Loonschijven_Tranches salariale'!$Q84*0.6),4)*$Y$1,2)&lt;M$8,M$8,IF('Loonschijven_Tranches salariale'!$Q84&lt;Basisbedragen!$C$24,ROUND(ROUND(('Loonschijven_Tranches salariale'!$Q84*0.6),4)*$Y$1,2),ROUND(ROUND((Basisbedragen!$C$24*0.6),4)*$Y$1,2)))</f>
        <v>73.819999999999993</v>
      </c>
      <c r="N85" s="59">
        <f>IF(ROUND(ROUND(('Loonschijven_Tranches salariale'!$Q84*0.6),4)*$Y$1,2)&lt;N$8,N$8,IF('Loonschijven_Tranches salariale'!$Q84&lt;Basisbedragen!$C$24,ROUND(ROUND(('Loonschijven_Tranches salariale'!$Q84*0.6),4)*$Y$1,2),ROUND(ROUND((Basisbedragen!$C$24*0.6),4)*$Y$1,2)))</f>
        <v>73.819999999999993</v>
      </c>
      <c r="P85" s="59">
        <f t="shared" ref="P85" si="28">ROUND(B85/2,2)</f>
        <v>46.5</v>
      </c>
      <c r="Q85" s="59">
        <f t="shared" ref="Q85" si="29">ROUND(C85/2,2)</f>
        <v>38.75</v>
      </c>
      <c r="S85" s="59">
        <f>'TW-CT_JS'!N84</f>
        <v>38.75</v>
      </c>
      <c r="T85" s="59">
        <f t="shared" si="23"/>
        <v>38.75</v>
      </c>
      <c r="U85" s="59">
        <f t="shared" si="24"/>
        <v>38.75</v>
      </c>
      <c r="AA85" s="59">
        <f t="shared" si="25"/>
        <v>36.909999999999997</v>
      </c>
      <c r="AB85" s="59">
        <f t="shared" si="25"/>
        <v>36.909999999999997</v>
      </c>
    </row>
    <row r="86" spans="1:28" ht="15" thickBot="1">
      <c r="A86" s="54">
        <f>A85+1</f>
        <v>78</v>
      </c>
      <c r="B86" s="59">
        <f>ROUND(A!$D86*1.2,2)</f>
        <v>94.02</v>
      </c>
      <c r="C86" s="59">
        <f>A!$D86</f>
        <v>78.349999999999994</v>
      </c>
      <c r="D86" s="486"/>
      <c r="E86" s="59">
        <f>'TW-CT_JS'!D85</f>
        <v>78.349999999999994</v>
      </c>
      <c r="F86" s="59">
        <f t="shared" si="19"/>
        <v>78.349999999999994</v>
      </c>
      <c r="G86" s="59">
        <f t="shared" si="20"/>
        <v>78.349999999999994</v>
      </c>
      <c r="M86" s="59">
        <f>IF(ROUND(ROUND(('Loonschijven_Tranches salariale'!$Q85*0.6),4)*$Y$1,2)&lt;M$8,M$8,IF('Loonschijven_Tranches salariale'!$Q85&lt;Basisbedragen!$C$24,ROUND(ROUND(('Loonschijven_Tranches salariale'!$Q85*0.6),4)*$Y$1,2),ROUND(ROUND((Basisbedragen!$C$24*0.6),4)*$Y$1,2)))</f>
        <v>73.819999999999993</v>
      </c>
      <c r="N86" s="59">
        <f>IF(ROUND(ROUND(('Loonschijven_Tranches salariale'!$Q85*0.6),4)*$Y$1,2)&lt;N$8,N$8,IF('Loonschijven_Tranches salariale'!$Q85&lt;Basisbedragen!$C$24,ROUND(ROUND(('Loonschijven_Tranches salariale'!$Q85*0.6),4)*$Y$1,2),ROUND(ROUND((Basisbedragen!$C$24*0.6),4)*$Y$1,2)))</f>
        <v>73.819999999999993</v>
      </c>
      <c r="P86" s="59">
        <f t="shared" ref="P86" si="30">ROUND(B86/2,2)</f>
        <v>47.01</v>
      </c>
      <c r="Q86" s="59">
        <f t="shared" ref="Q86" si="31">ROUND(C86/2,2)</f>
        <v>39.18</v>
      </c>
      <c r="R86" s="486"/>
      <c r="S86" s="59">
        <f>'TW-CT_JS'!N85</f>
        <v>39.18</v>
      </c>
      <c r="T86" s="59">
        <f t="shared" si="23"/>
        <v>39.18</v>
      </c>
      <c r="U86" s="59">
        <f t="shared" si="24"/>
        <v>39.18</v>
      </c>
      <c r="AA86" s="59">
        <f t="shared" si="25"/>
        <v>36.909999999999997</v>
      </c>
      <c r="AB86" s="59">
        <f t="shared" si="25"/>
        <v>36.909999999999997</v>
      </c>
    </row>
    <row r="87" spans="1:28" ht="15" thickBot="1">
      <c r="A87" s="54">
        <f>A86+1</f>
        <v>79</v>
      </c>
      <c r="B87" s="59">
        <f>ROUND(A!$D87*1.2,2)</f>
        <v>95.05</v>
      </c>
      <c r="C87" s="59">
        <f>A!$D87</f>
        <v>79.209999999999994</v>
      </c>
      <c r="D87" s="512"/>
      <c r="E87" s="59">
        <f>'TW-CT_JS'!D86</f>
        <v>79.209999999999994</v>
      </c>
      <c r="F87" s="59">
        <f t="shared" ref="F87" si="32">E87</f>
        <v>79.209999999999994</v>
      </c>
      <c r="G87" s="59">
        <f t="shared" ref="G87" si="33">E87</f>
        <v>79.209999999999994</v>
      </c>
      <c r="M87" s="59">
        <f>IF(ROUND(ROUND(('Loonschijven_Tranches salariale'!$Q86*0.6),4)*$Y$1,2)&lt;M$8,M$8,IF('Loonschijven_Tranches salariale'!$Q86&lt;Basisbedragen!$C$24,ROUND(ROUND(('Loonschijven_Tranches salariale'!$Q86*0.6),4)*$Y$1,2),ROUND(ROUND((Basisbedragen!$C$24*0.6),4)*$Y$1,2)))</f>
        <v>73.819999999999993</v>
      </c>
      <c r="N87" s="59">
        <f>IF(ROUND(ROUND(('Loonschijven_Tranches salariale'!$Q86*0.6),4)*$Y$1,2)&lt;N$8,N$8,IF('Loonschijven_Tranches salariale'!$Q86&lt;Basisbedragen!$C$24,ROUND(ROUND(('Loonschijven_Tranches salariale'!$Q86*0.6),4)*$Y$1,2),ROUND(ROUND((Basisbedragen!$C$24*0.6),4)*$Y$1,2)))</f>
        <v>73.819999999999993</v>
      </c>
      <c r="O87" s="512"/>
      <c r="P87" s="59">
        <f t="shared" ref="P87" si="34">ROUND(B87/2,2)</f>
        <v>47.53</v>
      </c>
      <c r="Q87" s="59">
        <f t="shared" ref="Q87" si="35">ROUND(C87/2,2)</f>
        <v>39.61</v>
      </c>
      <c r="R87" s="512"/>
      <c r="S87" s="59">
        <f>'TW-CT_JS'!N86</f>
        <v>39.61</v>
      </c>
      <c r="T87" s="59">
        <f t="shared" ref="T87" si="36">S87</f>
        <v>39.61</v>
      </c>
      <c r="U87" s="59">
        <f t="shared" ref="U87" si="37">S87</f>
        <v>39.61</v>
      </c>
      <c r="AA87" s="59">
        <f t="shared" ref="AA87" si="38">ROUND(M87/2,2)</f>
        <v>36.909999999999997</v>
      </c>
      <c r="AB87" s="59">
        <f t="shared" ref="AB87" si="39">ROUND(N87/2,2)</f>
        <v>36.909999999999997</v>
      </c>
    </row>
  </sheetData>
  <sheetProtection algorithmName="SHA-512" hashValue="KMhXqffYGyI7Jn0xeUn8dSG448DtOvvXv5pUU4uQfuj4a5w1EsNUgMpxH8Qd4zHngD8X4PZPq0TLUPlVGnyHlw==" saltValue="Iqmr6y38Jpg8mpvix2drKg==" spinCount="100000" sheet="1" objects="1" scenarios="1"/>
  <mergeCells count="11">
    <mergeCell ref="AA5:AB5"/>
    <mergeCell ref="P4:AB4"/>
    <mergeCell ref="W1:X1"/>
    <mergeCell ref="C1:U1"/>
    <mergeCell ref="C2:U2"/>
    <mergeCell ref="E5:G5"/>
    <mergeCell ref="I5:K5"/>
    <mergeCell ref="S5:U5"/>
    <mergeCell ref="W5:Y5"/>
    <mergeCell ref="B4:N4"/>
    <mergeCell ref="M5:N5"/>
  </mergeCells>
  <conditionalFormatting sqref="B9:C87">
    <cfRule type="expression" dxfId="3" priority="9">
      <formula>MOD(INDIRECT(ADDRESS(ROW(),1)),5)=0</formula>
    </cfRule>
    <cfRule type="cellIs" dxfId="2" priority="10" operator="lessThan">
      <formula>$C$9</formula>
    </cfRule>
  </conditionalFormatting>
  <conditionalFormatting sqref="I9:N9 P9:Q87 M10:N87 I10:L12 W9:Z12 I69:L71 I68:K68 I64:L67 I63:K63 I59:L62 I58:K58 I54:L57 I53:K53 I49:L52 I48:K48 I44:L47 I43:K43 I39:L42 I38:K38 I34:L37 I33:K33 I29:L32 I28:K28 I24:L27 I23:K23 I19:L22 I18:K18 I14:L17 I13:K13 W14:Z15 W13:Y13 W19:Z22 W18:Y18 W24:Z27 W23:Y23 W29:Z32 W28:Y28 W34:Z37 W33:Y33 W39:Z42 W38:Y38 W44:Z47 W43:Y43 W49:Z52 W48:Y48 W54:Z57 W53:Y53 W59:Z62 W58:Y58 W69:Z71 W68:Y68 W64:Z67 W63:Y63 W17:Z17 W16:Y16 E9:G87 S9:U87">
    <cfRule type="expression" dxfId="1" priority="7">
      <formula>MOD(INDIRECT(ADDRESS(ROW(),1)),5)=0</formula>
    </cfRule>
  </conditionalFormatting>
  <conditionalFormatting sqref="AA9:AB87">
    <cfRule type="expression" dxfId="0" priority="1">
      <formula>MOD(INDIRECT(ADDRESS(ROW(),1)),5)=0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&amp;LRijksdienst voor Arbeidsvoorziening&amp;ROffice national de l'Emploi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96"/>
  <sheetViews>
    <sheetView showGridLines="0" zoomScaleNormal="100" workbookViewId="0">
      <pane ySplit="2" topLeftCell="A3" activePane="bottomLeft" state="frozen"/>
      <selection activeCell="A2" sqref="A2"/>
      <selection pane="bottomLeft" activeCell="A2" sqref="A2:B2"/>
    </sheetView>
  </sheetViews>
  <sheetFormatPr defaultColWidth="9.109375" defaultRowHeight="14.4" outlineLevelCol="1"/>
  <cols>
    <col min="2" max="3" width="12.88671875" customWidth="1"/>
    <col min="14" max="14" width="9.109375" hidden="1" customWidth="1" outlineLevel="1"/>
    <col min="15" max="15" width="11.109375" hidden="1" customWidth="1" outlineLevel="1"/>
    <col min="16" max="17" width="9.109375" hidden="1" customWidth="1" outlineLevel="1"/>
    <col min="18" max="18" width="9.109375" collapsed="1"/>
  </cols>
  <sheetData>
    <row r="1" spans="1:17" ht="15.75" customHeight="1">
      <c r="A1" s="633" t="s">
        <v>33</v>
      </c>
      <c r="B1" s="634"/>
      <c r="C1" s="646" t="s">
        <v>1</v>
      </c>
      <c r="D1" s="647"/>
      <c r="E1" s="647"/>
      <c r="F1" s="647"/>
      <c r="G1" s="108"/>
      <c r="H1" s="599" t="s">
        <v>34</v>
      </c>
      <c r="I1" s="599"/>
      <c r="J1" s="599"/>
      <c r="K1" s="497">
        <f>Basisbedragen!$H$2</f>
        <v>1.7410000000000001</v>
      </c>
      <c r="L1" s="108"/>
      <c r="M1" s="108"/>
    </row>
    <row r="2" spans="1:17" ht="15.6">
      <c r="A2" s="635">
        <v>45689</v>
      </c>
      <c r="B2" s="636"/>
      <c r="C2" s="644" t="s">
        <v>0</v>
      </c>
      <c r="D2" s="645"/>
      <c r="E2" s="645"/>
      <c r="F2" s="645"/>
      <c r="G2" s="108"/>
      <c r="H2" s="108"/>
      <c r="I2" s="108"/>
      <c r="J2" s="108"/>
      <c r="K2" s="108"/>
      <c r="L2" s="108"/>
      <c r="M2" s="108"/>
    </row>
    <row r="3" spans="1:17" ht="15.6">
      <c r="A3" s="4"/>
      <c r="B3" s="5"/>
      <c r="C3" s="6"/>
      <c r="D3" s="7"/>
      <c r="E3" s="8"/>
      <c r="F3" s="9"/>
      <c r="G3" s="641"/>
      <c r="H3" s="10"/>
      <c r="I3" s="642"/>
    </row>
    <row r="4" spans="1:17" ht="15.6">
      <c r="A4" s="11"/>
      <c r="B4" s="5"/>
      <c r="C4" s="12"/>
      <c r="D4" s="13"/>
      <c r="E4" s="8"/>
      <c r="F4" s="14"/>
      <c r="G4" s="641"/>
      <c r="H4" s="10"/>
      <c r="I4" s="643"/>
    </row>
    <row r="5" spans="1:17">
      <c r="A5" s="15"/>
      <c r="B5" s="16"/>
      <c r="C5" s="16"/>
      <c r="D5" s="16"/>
      <c r="E5" s="16"/>
      <c r="F5" s="2"/>
      <c r="G5" s="17"/>
      <c r="H5" s="2"/>
      <c r="I5" s="2"/>
      <c r="J5" s="2"/>
      <c r="K5" s="2"/>
      <c r="L5" s="2"/>
      <c r="M5" s="18"/>
    </row>
    <row r="6" spans="1:17">
      <c r="A6" s="19"/>
      <c r="B6" s="637" t="s">
        <v>2</v>
      </c>
      <c r="C6" s="638"/>
      <c r="D6" s="20"/>
      <c r="E6" s="21"/>
      <c r="F6" s="22"/>
      <c r="I6" s="23"/>
      <c r="J6" s="23"/>
      <c r="K6" s="23"/>
      <c r="L6" s="23"/>
      <c r="M6" s="18"/>
    </row>
    <row r="7" spans="1:17" ht="15.6">
      <c r="A7" s="24"/>
      <c r="B7" s="637">
        <f>A2</f>
        <v>45689</v>
      </c>
      <c r="C7" s="638"/>
      <c r="D7" s="25"/>
      <c r="E7" s="26" t="s">
        <v>3</v>
      </c>
      <c r="F7" s="23"/>
      <c r="I7" s="639"/>
      <c r="J7" s="640"/>
      <c r="K7" s="23"/>
      <c r="L7" s="23"/>
      <c r="M7" s="18"/>
    </row>
    <row r="8" spans="1:17" ht="15.6">
      <c r="A8" s="27"/>
      <c r="B8" s="28"/>
      <c r="C8" s="28"/>
      <c r="D8" s="29"/>
      <c r="E8" s="30"/>
      <c r="F8" s="23"/>
      <c r="G8" s="31"/>
      <c r="H8" s="31"/>
      <c r="I8" s="31"/>
      <c r="J8" s="31"/>
      <c r="K8" s="23"/>
      <c r="L8" s="23"/>
      <c r="M8" s="18"/>
      <c r="N8">
        <v>1</v>
      </c>
      <c r="O8" s="32">
        <f t="shared" ref="O8:O59" si="0">O9-0.8631</f>
        <v>10.7913999999999</v>
      </c>
      <c r="P8" s="32">
        <f t="shared" ref="P8:P71" si="1">O9-0.0001</f>
        <v>11.6543999999999</v>
      </c>
      <c r="Q8" s="32">
        <f t="shared" ref="Q8:Q60" si="2">O8+0.4316</f>
        <v>11.2229999999999</v>
      </c>
    </row>
    <row r="9" spans="1:17" ht="15.6">
      <c r="A9" s="33"/>
      <c r="B9" s="192">
        <f>ROUND((O36*$K$1),4)</f>
        <v>60.862200000000001</v>
      </c>
      <c r="C9" s="192">
        <f t="shared" ref="C9:C36" si="3">B10-0.0001</f>
        <v>62.364799999999995</v>
      </c>
      <c r="D9" s="115"/>
      <c r="E9" s="116">
        <f>29</f>
        <v>29</v>
      </c>
      <c r="F9" s="23"/>
      <c r="G9" s="31"/>
      <c r="H9" s="31"/>
      <c r="I9" s="31"/>
      <c r="J9" s="31"/>
      <c r="K9" s="23"/>
      <c r="L9" s="23"/>
      <c r="M9" s="18"/>
      <c r="N9">
        <v>2</v>
      </c>
      <c r="O9" s="32">
        <f t="shared" si="0"/>
        <v>11.654499999999899</v>
      </c>
      <c r="P9" s="32">
        <f t="shared" si="1"/>
        <v>12.517499999999899</v>
      </c>
      <c r="Q9" s="32">
        <f t="shared" si="2"/>
        <v>12.086099999999899</v>
      </c>
    </row>
    <row r="10" spans="1:17" ht="15.6">
      <c r="A10" s="33"/>
      <c r="B10" s="193">
        <f>ROUND((O37*$K$1),4)</f>
        <v>62.364899999999999</v>
      </c>
      <c r="C10" s="193">
        <f t="shared" si="3"/>
        <v>63.867399999999996</v>
      </c>
      <c r="D10" s="115"/>
      <c r="E10" s="152">
        <f t="shared" ref="E10:E49" si="4">E9+1</f>
        <v>30</v>
      </c>
      <c r="F10" s="23"/>
      <c r="G10" s="31"/>
      <c r="H10" s="31"/>
      <c r="I10" s="31"/>
      <c r="J10" s="31"/>
      <c r="K10" s="23"/>
      <c r="L10" s="23"/>
      <c r="M10" s="18"/>
      <c r="N10">
        <v>3</v>
      </c>
      <c r="O10" s="32">
        <f t="shared" si="0"/>
        <v>12.517599999999899</v>
      </c>
      <c r="P10" s="32">
        <f t="shared" si="1"/>
        <v>13.380599999999898</v>
      </c>
      <c r="Q10" s="32">
        <f t="shared" si="2"/>
        <v>12.949199999999898</v>
      </c>
    </row>
    <row r="11" spans="1:17" ht="15.6">
      <c r="A11" s="33"/>
      <c r="B11" s="192">
        <f t="shared" ref="B11:B30" si="5">ROUND((O38*$K$1),4)</f>
        <v>63.8675</v>
      </c>
      <c r="C11" s="192">
        <f t="shared" si="3"/>
        <v>65.370099999999994</v>
      </c>
      <c r="D11" s="115"/>
      <c r="E11" s="116">
        <f t="shared" si="4"/>
        <v>31</v>
      </c>
      <c r="F11" s="23"/>
      <c r="G11" s="31"/>
      <c r="H11" s="31"/>
      <c r="I11" s="31"/>
      <c r="J11" s="31"/>
      <c r="K11" s="23"/>
      <c r="L11" s="23"/>
      <c r="M11" s="18"/>
      <c r="N11">
        <v>4</v>
      </c>
      <c r="O11" s="32">
        <f t="shared" si="0"/>
        <v>13.380699999999898</v>
      </c>
      <c r="P11" s="32">
        <f t="shared" si="1"/>
        <v>14.243699999999897</v>
      </c>
      <c r="Q11" s="32">
        <f t="shared" si="2"/>
        <v>13.812299999999897</v>
      </c>
    </row>
    <row r="12" spans="1:17" ht="15.6">
      <c r="A12" s="33"/>
      <c r="B12" s="192">
        <f t="shared" si="5"/>
        <v>65.370199999999997</v>
      </c>
      <c r="C12" s="192">
        <f t="shared" si="3"/>
        <v>66.872799999999998</v>
      </c>
      <c r="D12" s="115"/>
      <c r="E12" s="116">
        <f t="shared" si="4"/>
        <v>32</v>
      </c>
      <c r="F12" s="23"/>
      <c r="G12" s="31"/>
      <c r="H12" s="31"/>
      <c r="I12" s="31"/>
      <c r="J12" s="31"/>
      <c r="K12" s="23"/>
      <c r="L12" s="23"/>
      <c r="M12" s="18"/>
      <c r="N12">
        <v>5</v>
      </c>
      <c r="O12" s="32">
        <f t="shared" si="0"/>
        <v>14.243799999999897</v>
      </c>
      <c r="P12" s="32">
        <f t="shared" si="1"/>
        <v>15.106799999999897</v>
      </c>
      <c r="Q12" s="32">
        <f t="shared" si="2"/>
        <v>14.675399999999897</v>
      </c>
    </row>
    <row r="13" spans="1:17" ht="15.6">
      <c r="A13" s="33"/>
      <c r="B13" s="192">
        <f t="shared" si="5"/>
        <v>66.872900000000001</v>
      </c>
      <c r="C13" s="192">
        <f t="shared" si="3"/>
        <v>68.375399999999999</v>
      </c>
      <c r="D13" s="115"/>
      <c r="E13" s="116">
        <f t="shared" si="4"/>
        <v>33</v>
      </c>
      <c r="F13" s="23"/>
      <c r="G13" s="31"/>
      <c r="H13" s="31"/>
      <c r="I13" s="31"/>
      <c r="J13" s="31"/>
      <c r="K13" s="23"/>
      <c r="L13" s="23"/>
      <c r="M13" s="18"/>
      <c r="N13">
        <v>6</v>
      </c>
      <c r="O13" s="32">
        <f t="shared" si="0"/>
        <v>15.106899999999897</v>
      </c>
      <c r="P13" s="32">
        <f t="shared" si="1"/>
        <v>15.969899999999896</v>
      </c>
      <c r="Q13" s="32">
        <f t="shared" si="2"/>
        <v>15.538499999999896</v>
      </c>
    </row>
    <row r="14" spans="1:17" ht="15.6">
      <c r="A14" s="33"/>
      <c r="B14" s="192">
        <f t="shared" si="5"/>
        <v>68.375500000000002</v>
      </c>
      <c r="C14" s="192">
        <f t="shared" si="3"/>
        <v>69.878100000000003</v>
      </c>
      <c r="D14" s="115"/>
      <c r="E14" s="116">
        <f t="shared" si="4"/>
        <v>34</v>
      </c>
      <c r="F14" s="23"/>
      <c r="G14" s="31"/>
      <c r="H14" s="31"/>
      <c r="I14" s="31"/>
      <c r="J14" s="31"/>
      <c r="K14" s="23"/>
      <c r="L14" s="23"/>
      <c r="M14" s="18"/>
      <c r="N14">
        <v>7</v>
      </c>
      <c r="O14" s="32">
        <f t="shared" si="0"/>
        <v>15.969999999999896</v>
      </c>
      <c r="P14" s="32">
        <f t="shared" si="1"/>
        <v>16.832999999999895</v>
      </c>
      <c r="Q14" s="32">
        <f t="shared" si="2"/>
        <v>16.401599999999895</v>
      </c>
    </row>
    <row r="15" spans="1:17" ht="15.6">
      <c r="A15" s="33"/>
      <c r="B15" s="194">
        <f t="shared" si="5"/>
        <v>69.878200000000007</v>
      </c>
      <c r="C15" s="194">
        <f t="shared" si="3"/>
        <v>71.38069999999999</v>
      </c>
      <c r="D15" s="115"/>
      <c r="E15" s="152">
        <f t="shared" si="4"/>
        <v>35</v>
      </c>
      <c r="F15" s="23"/>
      <c r="G15" s="31"/>
      <c r="H15" s="31"/>
      <c r="I15" s="31"/>
      <c r="J15" s="31"/>
      <c r="K15" s="23"/>
      <c r="L15" s="23"/>
      <c r="M15" s="18"/>
      <c r="N15">
        <v>8</v>
      </c>
      <c r="O15" s="32">
        <f t="shared" si="0"/>
        <v>16.833099999999895</v>
      </c>
      <c r="P15" s="32">
        <f t="shared" si="1"/>
        <v>17.696099999999895</v>
      </c>
      <c r="Q15" s="32">
        <f t="shared" si="2"/>
        <v>17.264699999999895</v>
      </c>
    </row>
    <row r="16" spans="1:17" ht="15.6">
      <c r="A16" s="33"/>
      <c r="B16" s="192">
        <f t="shared" si="5"/>
        <v>71.380799999999994</v>
      </c>
      <c r="C16" s="192">
        <f t="shared" si="3"/>
        <v>72.883399999999995</v>
      </c>
      <c r="D16" s="115"/>
      <c r="E16" s="116">
        <f t="shared" si="4"/>
        <v>36</v>
      </c>
      <c r="F16" s="23"/>
      <c r="G16" s="31"/>
      <c r="H16" s="31"/>
      <c r="I16" s="31"/>
      <c r="J16" s="31"/>
      <c r="K16" s="23"/>
      <c r="L16" s="23"/>
      <c r="M16" s="18"/>
      <c r="N16">
        <v>9</v>
      </c>
      <c r="O16" s="32">
        <f t="shared" si="0"/>
        <v>17.696199999999894</v>
      </c>
      <c r="P16" s="32">
        <f t="shared" si="1"/>
        <v>18.559199999999894</v>
      </c>
      <c r="Q16" s="32">
        <f t="shared" si="2"/>
        <v>18.127799999999894</v>
      </c>
    </row>
    <row r="17" spans="1:17" ht="15.6">
      <c r="A17" s="33"/>
      <c r="B17" s="192">
        <f t="shared" si="5"/>
        <v>72.883499999999998</v>
      </c>
      <c r="C17" s="192">
        <f t="shared" si="3"/>
        <v>74.385999999999996</v>
      </c>
      <c r="D17" s="115"/>
      <c r="E17" s="116">
        <f t="shared" si="4"/>
        <v>37</v>
      </c>
      <c r="F17" s="23"/>
      <c r="G17" s="31"/>
      <c r="H17" s="31"/>
      <c r="I17" s="31"/>
      <c r="J17" s="31"/>
      <c r="K17" s="23"/>
      <c r="L17" s="23"/>
      <c r="M17" s="18"/>
      <c r="N17">
        <v>10</v>
      </c>
      <c r="O17" s="32">
        <f t="shared" si="0"/>
        <v>18.559299999999894</v>
      </c>
      <c r="P17" s="32">
        <f t="shared" si="1"/>
        <v>19.422299999999893</v>
      </c>
      <c r="Q17" s="32">
        <f t="shared" si="2"/>
        <v>18.990899999999893</v>
      </c>
    </row>
    <row r="18" spans="1:17" ht="15.6">
      <c r="A18" s="33"/>
      <c r="B18" s="192">
        <f t="shared" si="5"/>
        <v>74.386099999999999</v>
      </c>
      <c r="C18" s="192">
        <f t="shared" si="3"/>
        <v>75.8887</v>
      </c>
      <c r="D18" s="115"/>
      <c r="E18" s="116">
        <f t="shared" si="4"/>
        <v>38</v>
      </c>
      <c r="F18" s="23"/>
      <c r="G18" s="31"/>
      <c r="H18" s="31"/>
      <c r="I18" s="31"/>
      <c r="J18" s="31"/>
      <c r="K18" s="23"/>
      <c r="L18" s="23"/>
      <c r="M18" s="18"/>
      <c r="N18">
        <v>11</v>
      </c>
      <c r="O18" s="32">
        <f t="shared" si="0"/>
        <v>19.422399999999893</v>
      </c>
      <c r="P18" s="32">
        <f t="shared" si="1"/>
        <v>20.285399999999893</v>
      </c>
      <c r="Q18" s="32">
        <f t="shared" si="2"/>
        <v>19.853999999999893</v>
      </c>
    </row>
    <row r="19" spans="1:17" ht="15.6">
      <c r="A19" s="33"/>
      <c r="B19" s="192">
        <f t="shared" si="5"/>
        <v>75.888800000000003</v>
      </c>
      <c r="C19" s="192">
        <f t="shared" si="3"/>
        <v>77.39139999999999</v>
      </c>
      <c r="D19" s="115"/>
      <c r="E19" s="116">
        <f t="shared" si="4"/>
        <v>39</v>
      </c>
      <c r="F19" s="23"/>
      <c r="G19" s="31"/>
      <c r="H19" s="31"/>
      <c r="I19" s="31"/>
      <c r="J19" s="31"/>
      <c r="K19" s="23"/>
      <c r="L19" s="23"/>
      <c r="M19" s="18"/>
      <c r="N19">
        <v>12</v>
      </c>
      <c r="O19" s="32">
        <f t="shared" si="0"/>
        <v>20.285499999999892</v>
      </c>
      <c r="P19" s="32">
        <f t="shared" si="1"/>
        <v>21.148499999999892</v>
      </c>
      <c r="Q19" s="32">
        <f t="shared" si="2"/>
        <v>20.717099999999892</v>
      </c>
    </row>
    <row r="20" spans="1:17" ht="15.6">
      <c r="A20" s="33"/>
      <c r="B20" s="194">
        <f t="shared" si="5"/>
        <v>77.391499999999994</v>
      </c>
      <c r="C20" s="194">
        <f t="shared" si="3"/>
        <v>78.893999999999991</v>
      </c>
      <c r="D20" s="115"/>
      <c r="E20" s="152">
        <f t="shared" si="4"/>
        <v>40</v>
      </c>
      <c r="F20" s="23"/>
      <c r="G20" s="31"/>
      <c r="H20" s="31"/>
      <c r="I20" s="31"/>
      <c r="J20" s="31"/>
      <c r="K20" s="23"/>
      <c r="L20" s="23"/>
      <c r="M20" s="18"/>
      <c r="N20">
        <v>13</v>
      </c>
      <c r="O20" s="32">
        <f t="shared" si="0"/>
        <v>21.148599999999892</v>
      </c>
      <c r="P20" s="32">
        <f t="shared" si="1"/>
        <v>22.011599999999891</v>
      </c>
      <c r="Q20" s="32">
        <f t="shared" si="2"/>
        <v>21.580199999999891</v>
      </c>
    </row>
    <row r="21" spans="1:17" ht="15.6">
      <c r="A21" s="33"/>
      <c r="B21" s="192">
        <f t="shared" si="5"/>
        <v>78.894099999999995</v>
      </c>
      <c r="C21" s="192">
        <f t="shared" si="3"/>
        <v>80.396699999999996</v>
      </c>
      <c r="D21" s="115"/>
      <c r="E21" s="116">
        <f t="shared" si="4"/>
        <v>41</v>
      </c>
      <c r="F21" s="23"/>
      <c r="G21" s="31"/>
      <c r="H21" s="31"/>
      <c r="I21" s="31"/>
      <c r="J21" s="31"/>
      <c r="K21" s="23"/>
      <c r="L21" s="23"/>
      <c r="M21" s="18"/>
      <c r="N21">
        <v>14</v>
      </c>
      <c r="O21" s="32">
        <f t="shared" si="0"/>
        <v>22.011699999999891</v>
      </c>
      <c r="P21" s="32">
        <f t="shared" si="1"/>
        <v>22.874699999999891</v>
      </c>
      <c r="Q21" s="32">
        <f t="shared" si="2"/>
        <v>22.443299999999891</v>
      </c>
    </row>
    <row r="22" spans="1:17" ht="15.6">
      <c r="A22" s="33"/>
      <c r="B22" s="192">
        <f t="shared" si="5"/>
        <v>80.396799999999999</v>
      </c>
      <c r="C22" s="192">
        <f t="shared" si="3"/>
        <v>81.899299999999997</v>
      </c>
      <c r="D22" s="115"/>
      <c r="E22" s="116">
        <f t="shared" si="4"/>
        <v>42</v>
      </c>
      <c r="F22" s="23"/>
      <c r="G22" s="31"/>
      <c r="H22" s="31"/>
      <c r="I22" s="31"/>
      <c r="J22" s="31"/>
      <c r="K22" s="23"/>
      <c r="L22" s="23"/>
      <c r="M22" s="18"/>
      <c r="N22">
        <v>15</v>
      </c>
      <c r="O22" s="32">
        <f t="shared" si="0"/>
        <v>22.87479999999989</v>
      </c>
      <c r="P22" s="32">
        <f t="shared" si="1"/>
        <v>23.73779999999989</v>
      </c>
      <c r="Q22" s="32">
        <f t="shared" si="2"/>
        <v>23.30639999999989</v>
      </c>
    </row>
    <row r="23" spans="1:17" ht="15.6">
      <c r="A23" s="33"/>
      <c r="B23" s="192">
        <f t="shared" si="5"/>
        <v>81.8994</v>
      </c>
      <c r="C23" s="192">
        <f t="shared" si="3"/>
        <v>83.402000000000001</v>
      </c>
      <c r="D23" s="115"/>
      <c r="E23" s="116">
        <f t="shared" si="4"/>
        <v>43</v>
      </c>
      <c r="F23" s="23"/>
      <c r="G23" s="31"/>
      <c r="H23" s="31"/>
      <c r="I23" s="31"/>
      <c r="J23" s="31"/>
      <c r="K23" s="23"/>
      <c r="L23" s="23"/>
      <c r="M23" s="18"/>
      <c r="N23">
        <v>16</v>
      </c>
      <c r="O23" s="32">
        <f t="shared" si="0"/>
        <v>23.73789999999989</v>
      </c>
      <c r="P23" s="32">
        <f t="shared" si="1"/>
        <v>24.600899999999889</v>
      </c>
      <c r="Q23" s="32">
        <f t="shared" si="2"/>
        <v>24.169499999999889</v>
      </c>
    </row>
    <row r="24" spans="1:17" ht="15.6">
      <c r="A24" s="33"/>
      <c r="B24" s="192">
        <f t="shared" si="5"/>
        <v>83.402100000000004</v>
      </c>
      <c r="C24" s="192">
        <f t="shared" si="3"/>
        <v>84.904600000000002</v>
      </c>
      <c r="D24" s="115"/>
      <c r="E24" s="116">
        <f t="shared" si="4"/>
        <v>44</v>
      </c>
      <c r="F24" s="23"/>
      <c r="G24" s="31"/>
      <c r="H24" s="31"/>
      <c r="I24" s="31"/>
      <c r="J24" s="31"/>
      <c r="K24" s="23"/>
      <c r="L24" s="23"/>
      <c r="M24" s="18"/>
      <c r="N24">
        <v>17</v>
      </c>
      <c r="O24" s="32">
        <f t="shared" si="0"/>
        <v>24.600999999999889</v>
      </c>
      <c r="P24" s="32">
        <f t="shared" si="1"/>
        <v>25.463999999999889</v>
      </c>
      <c r="Q24" s="32">
        <f t="shared" si="2"/>
        <v>25.032599999999888</v>
      </c>
    </row>
    <row r="25" spans="1:17" ht="15.6">
      <c r="A25" s="33"/>
      <c r="B25" s="194">
        <f t="shared" si="5"/>
        <v>84.904700000000005</v>
      </c>
      <c r="C25" s="194">
        <f t="shared" si="3"/>
        <v>86.407299999999992</v>
      </c>
      <c r="D25" s="115"/>
      <c r="E25" s="152">
        <f t="shared" si="4"/>
        <v>45</v>
      </c>
      <c r="F25" s="23"/>
      <c r="G25" s="31"/>
      <c r="H25" s="31"/>
      <c r="I25" s="31"/>
      <c r="J25" s="31"/>
      <c r="K25" s="23"/>
      <c r="L25" s="23"/>
      <c r="M25" s="18"/>
      <c r="N25">
        <v>18</v>
      </c>
      <c r="O25" s="32">
        <f t="shared" si="0"/>
        <v>25.464099999999888</v>
      </c>
      <c r="P25" s="32">
        <f t="shared" si="1"/>
        <v>26.327099999999888</v>
      </c>
      <c r="Q25" s="32">
        <f t="shared" si="2"/>
        <v>25.895699999999888</v>
      </c>
    </row>
    <row r="26" spans="1:17" ht="15.6">
      <c r="A26" s="33"/>
      <c r="B26" s="192">
        <f t="shared" si="5"/>
        <v>86.407399999999996</v>
      </c>
      <c r="C26" s="192">
        <f t="shared" si="3"/>
        <v>87.91</v>
      </c>
      <c r="D26" s="115"/>
      <c r="E26" s="116">
        <f t="shared" si="4"/>
        <v>46</v>
      </c>
      <c r="F26" s="23"/>
      <c r="G26" s="31"/>
      <c r="H26" s="31"/>
      <c r="I26" s="31"/>
      <c r="J26" s="31"/>
      <c r="K26" s="23"/>
      <c r="L26" s="23"/>
      <c r="M26" s="18"/>
      <c r="N26">
        <v>19</v>
      </c>
      <c r="O26" s="32">
        <f t="shared" si="0"/>
        <v>26.327199999999888</v>
      </c>
      <c r="P26" s="32">
        <f t="shared" si="1"/>
        <v>27.190199999999887</v>
      </c>
      <c r="Q26" s="32">
        <f t="shared" si="2"/>
        <v>26.758799999999887</v>
      </c>
    </row>
    <row r="27" spans="1:17" ht="15.6">
      <c r="A27" s="33"/>
      <c r="B27" s="192">
        <f t="shared" si="5"/>
        <v>87.9101</v>
      </c>
      <c r="C27" s="192">
        <f t="shared" si="3"/>
        <v>89.412599999999998</v>
      </c>
      <c r="D27" s="115"/>
      <c r="E27" s="116">
        <f t="shared" si="4"/>
        <v>47</v>
      </c>
      <c r="F27" s="23"/>
      <c r="G27" s="31"/>
      <c r="H27" s="31"/>
      <c r="I27" s="31"/>
      <c r="J27" s="31"/>
      <c r="K27" s="23"/>
      <c r="L27" s="23"/>
      <c r="M27" s="18"/>
      <c r="N27">
        <v>20</v>
      </c>
      <c r="O27" s="32">
        <f t="shared" si="0"/>
        <v>27.190299999999887</v>
      </c>
      <c r="P27" s="32">
        <f t="shared" si="1"/>
        <v>28.053299999999886</v>
      </c>
      <c r="Q27" s="32">
        <f t="shared" si="2"/>
        <v>27.621899999999886</v>
      </c>
    </row>
    <row r="28" spans="1:17" ht="15.6">
      <c r="A28" s="33"/>
      <c r="B28" s="192">
        <f t="shared" si="5"/>
        <v>89.412700000000001</v>
      </c>
      <c r="C28" s="192">
        <f t="shared" si="3"/>
        <v>90.915300000000002</v>
      </c>
      <c r="D28" s="115"/>
      <c r="E28" s="116">
        <f t="shared" si="4"/>
        <v>48</v>
      </c>
      <c r="F28" s="23"/>
      <c r="G28" s="31"/>
      <c r="H28" s="31"/>
      <c r="I28" s="31"/>
      <c r="J28" s="31"/>
      <c r="K28" s="23"/>
      <c r="L28" s="23"/>
      <c r="M28" s="18"/>
      <c r="N28">
        <v>21</v>
      </c>
      <c r="O28" s="32">
        <f t="shared" si="0"/>
        <v>28.053399999999886</v>
      </c>
      <c r="P28" s="32">
        <f t="shared" si="1"/>
        <v>28.916399999999886</v>
      </c>
      <c r="Q28" s="32">
        <f t="shared" si="2"/>
        <v>28.484999999999886</v>
      </c>
    </row>
    <row r="29" spans="1:17" ht="15.6">
      <c r="A29" s="33"/>
      <c r="B29" s="192">
        <f t="shared" si="5"/>
        <v>90.915400000000005</v>
      </c>
      <c r="C29" s="192">
        <f t="shared" si="3"/>
        <v>92.417900000000003</v>
      </c>
      <c r="D29" s="115"/>
      <c r="E29" s="116">
        <f t="shared" si="4"/>
        <v>49</v>
      </c>
      <c r="F29" s="23"/>
      <c r="G29" s="31"/>
      <c r="H29" s="31"/>
      <c r="I29" s="31"/>
      <c r="J29" s="31"/>
      <c r="K29" s="23"/>
      <c r="L29" s="23"/>
      <c r="M29" s="18"/>
      <c r="N29">
        <v>22</v>
      </c>
      <c r="O29" s="32">
        <f t="shared" si="0"/>
        <v>28.916499999999886</v>
      </c>
      <c r="P29" s="32">
        <f t="shared" si="1"/>
        <v>29.779499999999885</v>
      </c>
      <c r="Q29" s="32">
        <f t="shared" si="2"/>
        <v>29.348099999999885</v>
      </c>
    </row>
    <row r="30" spans="1:17" ht="15.6">
      <c r="A30" s="33"/>
      <c r="B30" s="194">
        <f t="shared" si="5"/>
        <v>92.418000000000006</v>
      </c>
      <c r="C30" s="194">
        <f t="shared" si="3"/>
        <v>93.920599999999993</v>
      </c>
      <c r="D30" s="115"/>
      <c r="E30" s="152">
        <f t="shared" si="4"/>
        <v>50</v>
      </c>
      <c r="F30" s="23"/>
      <c r="G30" s="31"/>
      <c r="H30" s="31"/>
      <c r="I30" s="31"/>
      <c r="J30" s="31"/>
      <c r="K30" s="23"/>
      <c r="L30" s="23"/>
      <c r="M30" s="18"/>
      <c r="N30">
        <v>23</v>
      </c>
      <c r="O30" s="32">
        <f t="shared" si="0"/>
        <v>29.779599999999885</v>
      </c>
      <c r="P30" s="32">
        <f t="shared" si="1"/>
        <v>30.642599999999884</v>
      </c>
      <c r="Q30" s="32">
        <f t="shared" si="2"/>
        <v>30.211199999999884</v>
      </c>
    </row>
    <row r="31" spans="1:17" ht="15.6">
      <c r="A31" s="33"/>
      <c r="B31" s="192">
        <f>ROUND((O58*$K$1),4)</f>
        <v>93.920699999999997</v>
      </c>
      <c r="C31" s="192">
        <f t="shared" si="3"/>
        <v>95.423199999999994</v>
      </c>
      <c r="D31" s="115"/>
      <c r="E31" s="116">
        <f t="shared" si="4"/>
        <v>51</v>
      </c>
      <c r="F31" s="23"/>
      <c r="G31" s="31"/>
      <c r="H31" s="31"/>
      <c r="I31" s="31"/>
      <c r="J31" s="31"/>
      <c r="K31" s="23"/>
      <c r="L31" s="23"/>
      <c r="M31" s="18"/>
      <c r="N31">
        <v>24</v>
      </c>
      <c r="O31" s="32">
        <f t="shared" si="0"/>
        <v>30.642699999999884</v>
      </c>
      <c r="P31" s="32">
        <f t="shared" si="1"/>
        <v>31.505699999999884</v>
      </c>
      <c r="Q31" s="32">
        <f t="shared" si="2"/>
        <v>31.074299999999884</v>
      </c>
    </row>
    <row r="32" spans="1:17" ht="15.6">
      <c r="A32" s="33"/>
      <c r="B32" s="192">
        <f>ROUND((O59*$K$1),4)</f>
        <v>95.423299999999998</v>
      </c>
      <c r="C32" s="192">
        <f t="shared" si="3"/>
        <v>96.925899999999999</v>
      </c>
      <c r="D32" s="115"/>
      <c r="E32" s="116">
        <f t="shared" si="4"/>
        <v>52</v>
      </c>
      <c r="F32" s="23"/>
      <c r="G32" s="31"/>
      <c r="H32" s="31"/>
      <c r="I32" s="31"/>
      <c r="J32" s="31"/>
      <c r="K32" s="23"/>
      <c r="L32" s="23"/>
      <c r="M32" s="18"/>
      <c r="N32">
        <v>25</v>
      </c>
      <c r="O32" s="32">
        <f t="shared" si="0"/>
        <v>31.505799999999883</v>
      </c>
      <c r="P32" s="32">
        <f t="shared" si="1"/>
        <v>32.368799999999879</v>
      </c>
      <c r="Q32" s="32">
        <f t="shared" si="2"/>
        <v>31.937399999999883</v>
      </c>
    </row>
    <row r="33" spans="1:17" ht="15.6">
      <c r="A33" s="33"/>
      <c r="B33" s="192">
        <f t="shared" ref="B33:B55" si="6">ROUND((O60*$K$1),4)</f>
        <v>96.926000000000002</v>
      </c>
      <c r="C33" s="192">
        <f t="shared" si="3"/>
        <v>98.428600000000003</v>
      </c>
      <c r="D33" s="115"/>
      <c r="E33" s="116">
        <f t="shared" si="4"/>
        <v>53</v>
      </c>
      <c r="F33" s="23"/>
      <c r="G33" s="31"/>
      <c r="H33" s="31"/>
      <c r="I33" s="31"/>
      <c r="J33" s="31"/>
      <c r="K33" s="23"/>
      <c r="L33" s="23"/>
      <c r="M33" s="18"/>
      <c r="N33">
        <v>26</v>
      </c>
      <c r="O33" s="32">
        <f t="shared" si="0"/>
        <v>32.368899999999883</v>
      </c>
      <c r="P33" s="32">
        <f t="shared" si="1"/>
        <v>33.231899999999882</v>
      </c>
      <c r="Q33" s="32">
        <f t="shared" si="2"/>
        <v>32.800499999999886</v>
      </c>
    </row>
    <row r="34" spans="1:17" ht="15.6">
      <c r="A34" s="33"/>
      <c r="B34" s="192">
        <f t="shared" si="6"/>
        <v>98.428700000000006</v>
      </c>
      <c r="C34" s="192">
        <f t="shared" si="3"/>
        <v>99.179999999999993</v>
      </c>
      <c r="D34" s="115"/>
      <c r="E34" s="116">
        <f t="shared" si="4"/>
        <v>54</v>
      </c>
      <c r="F34" s="23"/>
      <c r="G34" s="31"/>
      <c r="H34" s="31"/>
      <c r="I34" s="31"/>
      <c r="J34" s="31"/>
      <c r="K34" s="23"/>
      <c r="L34" s="23"/>
      <c r="M34" s="18"/>
      <c r="N34">
        <v>27</v>
      </c>
      <c r="O34" s="32">
        <f t="shared" si="0"/>
        <v>33.231999999999886</v>
      </c>
      <c r="P34" s="32">
        <f t="shared" si="1"/>
        <v>34.094999999999885</v>
      </c>
      <c r="Q34" s="32">
        <f t="shared" si="2"/>
        <v>33.663599999999889</v>
      </c>
    </row>
    <row r="35" spans="1:17" ht="15.6">
      <c r="A35" s="33"/>
      <c r="B35" s="194">
        <f t="shared" si="6"/>
        <v>99.180099999999996</v>
      </c>
      <c r="C35" s="194">
        <f t="shared" si="3"/>
        <v>99.93119999999999</v>
      </c>
      <c r="D35" s="115"/>
      <c r="E35" s="152">
        <f t="shared" si="4"/>
        <v>55</v>
      </c>
      <c r="F35" s="23"/>
      <c r="G35" s="31"/>
      <c r="H35" s="34"/>
      <c r="I35" s="31"/>
      <c r="J35" s="31"/>
      <c r="K35" s="23"/>
      <c r="L35" s="23"/>
      <c r="M35" s="18"/>
      <c r="N35">
        <v>28</v>
      </c>
      <c r="O35" s="32">
        <f t="shared" si="0"/>
        <v>34.095099999999888</v>
      </c>
      <c r="P35" s="32">
        <f t="shared" si="1"/>
        <v>34.958099999999888</v>
      </c>
      <c r="Q35" s="32">
        <f t="shared" si="2"/>
        <v>34.526699999999892</v>
      </c>
    </row>
    <row r="36" spans="1:17" ht="15.6">
      <c r="A36" s="33"/>
      <c r="B36" s="192">
        <f t="shared" si="6"/>
        <v>99.931299999999993</v>
      </c>
      <c r="C36" s="192">
        <f t="shared" si="3"/>
        <v>101.43389999999999</v>
      </c>
      <c r="D36" s="115"/>
      <c r="E36" s="116">
        <f t="shared" si="4"/>
        <v>56</v>
      </c>
      <c r="F36" s="23"/>
      <c r="G36" s="31"/>
      <c r="H36" s="31"/>
      <c r="I36" s="31"/>
      <c r="J36" s="31"/>
      <c r="K36" s="23"/>
      <c r="L36" s="23"/>
      <c r="M36" s="18"/>
      <c r="N36">
        <v>29</v>
      </c>
      <c r="O36" s="32">
        <f t="shared" si="0"/>
        <v>34.958199999999891</v>
      </c>
      <c r="P36" s="32">
        <f t="shared" si="1"/>
        <v>35.821199999999891</v>
      </c>
      <c r="Q36" s="32">
        <f t="shared" si="2"/>
        <v>35.389799999999894</v>
      </c>
    </row>
    <row r="37" spans="1:17" ht="15.6">
      <c r="A37" s="33"/>
      <c r="B37" s="192">
        <f t="shared" si="6"/>
        <v>101.434</v>
      </c>
      <c r="C37" s="192">
        <f>B38-0.0001</f>
        <v>102.9365</v>
      </c>
      <c r="D37" s="115"/>
      <c r="E37" s="116">
        <f t="shared" si="4"/>
        <v>57</v>
      </c>
      <c r="F37" s="23"/>
      <c r="G37" s="31"/>
      <c r="H37" s="31"/>
      <c r="I37" s="31"/>
      <c r="J37" s="31"/>
      <c r="K37" s="23"/>
      <c r="L37" s="23"/>
      <c r="M37" s="18"/>
      <c r="N37">
        <v>30</v>
      </c>
      <c r="O37" s="32">
        <f t="shared" si="0"/>
        <v>35.821299999999894</v>
      </c>
      <c r="P37" s="32">
        <f t="shared" si="1"/>
        <v>36.684299999999894</v>
      </c>
      <c r="Q37" s="32">
        <f t="shared" si="2"/>
        <v>36.252899999999897</v>
      </c>
    </row>
    <row r="38" spans="1:17" ht="16.2" thickBot="1">
      <c r="A38" s="35"/>
      <c r="B38" s="192">
        <f t="shared" si="6"/>
        <v>102.9366</v>
      </c>
      <c r="C38" s="192">
        <f>B39-0.0001</f>
        <v>104.4392</v>
      </c>
      <c r="D38" s="117"/>
      <c r="E38" s="116">
        <f t="shared" si="4"/>
        <v>58</v>
      </c>
      <c r="F38" s="36"/>
      <c r="G38" s="1"/>
      <c r="H38" s="23"/>
      <c r="I38" s="23"/>
      <c r="J38" s="23"/>
      <c r="K38" s="23"/>
      <c r="L38" s="23"/>
      <c r="M38" s="18"/>
      <c r="N38">
        <v>31</v>
      </c>
      <c r="O38" s="32">
        <f t="shared" si="0"/>
        <v>36.684399999999897</v>
      </c>
      <c r="P38" s="32">
        <f t="shared" si="1"/>
        <v>37.547399999999897</v>
      </c>
      <c r="Q38" s="32">
        <f t="shared" si="2"/>
        <v>37.1159999999999</v>
      </c>
    </row>
    <row r="39" spans="1:17" ht="15.6">
      <c r="A39" s="37"/>
      <c r="B39" s="192">
        <f t="shared" si="6"/>
        <v>104.4393</v>
      </c>
      <c r="C39" s="192">
        <f t="shared" ref="C39:C49" si="7">B40-0.0001</f>
        <v>105.9418</v>
      </c>
      <c r="D39" s="118"/>
      <c r="E39" s="116">
        <f t="shared" si="4"/>
        <v>59</v>
      </c>
      <c r="N39">
        <v>32</v>
      </c>
      <c r="O39" s="32">
        <f t="shared" si="0"/>
        <v>37.5474999999999</v>
      </c>
      <c r="P39" s="32">
        <f t="shared" si="1"/>
        <v>38.4104999999999</v>
      </c>
      <c r="Q39" s="32">
        <f t="shared" si="2"/>
        <v>37.979099999999903</v>
      </c>
    </row>
    <row r="40" spans="1:17" ht="15.6">
      <c r="A40" s="37"/>
      <c r="B40" s="194">
        <f t="shared" si="6"/>
        <v>105.9419</v>
      </c>
      <c r="C40" s="194">
        <f t="shared" si="7"/>
        <v>107.44449999999999</v>
      </c>
      <c r="D40" s="118"/>
      <c r="E40" s="152">
        <f t="shared" si="4"/>
        <v>60</v>
      </c>
      <c r="N40">
        <v>33</v>
      </c>
      <c r="O40" s="32">
        <f t="shared" si="0"/>
        <v>38.410599999999903</v>
      </c>
      <c r="P40" s="32">
        <f t="shared" si="1"/>
        <v>39.273599999999902</v>
      </c>
      <c r="Q40" s="32">
        <f t="shared" si="2"/>
        <v>38.842199999999906</v>
      </c>
    </row>
    <row r="41" spans="1:17" ht="15.6">
      <c r="A41" s="37"/>
      <c r="B41" s="192">
        <f t="shared" si="6"/>
        <v>107.44459999999999</v>
      </c>
      <c r="C41" s="192">
        <f t="shared" si="7"/>
        <v>108.9472</v>
      </c>
      <c r="D41" s="118"/>
      <c r="E41" s="116">
        <f t="shared" si="4"/>
        <v>61</v>
      </c>
      <c r="N41">
        <v>34</v>
      </c>
      <c r="O41" s="32">
        <f t="shared" si="0"/>
        <v>39.273699999999906</v>
      </c>
      <c r="P41" s="32">
        <f t="shared" si="1"/>
        <v>40.136699999999905</v>
      </c>
      <c r="Q41" s="32">
        <f t="shared" si="2"/>
        <v>39.705299999999909</v>
      </c>
    </row>
    <row r="42" spans="1:17" ht="15.6">
      <c r="A42" s="37"/>
      <c r="B42" s="192">
        <f t="shared" si="6"/>
        <v>108.9473</v>
      </c>
      <c r="C42" s="192">
        <f t="shared" si="7"/>
        <v>110.4498</v>
      </c>
      <c r="D42" s="118"/>
      <c r="E42" s="116">
        <f t="shared" si="4"/>
        <v>62</v>
      </c>
      <c r="N42">
        <v>35</v>
      </c>
      <c r="O42" s="32">
        <f t="shared" si="0"/>
        <v>40.136799999999909</v>
      </c>
      <c r="P42" s="32">
        <f t="shared" si="1"/>
        <v>40.999799999999908</v>
      </c>
      <c r="Q42" s="32">
        <f t="shared" si="2"/>
        <v>40.568399999999912</v>
      </c>
    </row>
    <row r="43" spans="1:17" ht="15.6">
      <c r="A43" s="37"/>
      <c r="B43" s="192">
        <f t="shared" si="6"/>
        <v>110.4499</v>
      </c>
      <c r="C43" s="192">
        <f t="shared" si="7"/>
        <v>111.9525</v>
      </c>
      <c r="D43" s="118"/>
      <c r="E43" s="116">
        <f t="shared" si="4"/>
        <v>63</v>
      </c>
      <c r="N43">
        <v>36</v>
      </c>
      <c r="O43" s="32">
        <f t="shared" si="0"/>
        <v>40.999899999999911</v>
      </c>
      <c r="P43" s="32">
        <f t="shared" si="1"/>
        <v>41.862899999999911</v>
      </c>
      <c r="Q43" s="32">
        <f t="shared" si="2"/>
        <v>41.431499999999915</v>
      </c>
    </row>
    <row r="44" spans="1:17" ht="15.6">
      <c r="A44" s="37"/>
      <c r="B44" s="192">
        <f t="shared" si="6"/>
        <v>111.9526</v>
      </c>
      <c r="C44" s="192">
        <f t="shared" si="7"/>
        <v>113.4551</v>
      </c>
      <c r="D44" s="118"/>
      <c r="E44" s="116">
        <f t="shared" si="4"/>
        <v>64</v>
      </c>
      <c r="N44">
        <v>37</v>
      </c>
      <c r="O44" s="32">
        <f t="shared" si="0"/>
        <v>41.862999999999914</v>
      </c>
      <c r="P44" s="32">
        <f t="shared" si="1"/>
        <v>42.725999999999914</v>
      </c>
      <c r="Q44" s="32">
        <f t="shared" si="2"/>
        <v>42.294599999999917</v>
      </c>
    </row>
    <row r="45" spans="1:17" ht="15.6">
      <c r="A45" s="37"/>
      <c r="B45" s="194">
        <f t="shared" si="6"/>
        <v>113.4552</v>
      </c>
      <c r="C45" s="194">
        <f t="shared" si="7"/>
        <v>114.95779999999999</v>
      </c>
      <c r="D45" s="118"/>
      <c r="E45" s="152">
        <f t="shared" si="4"/>
        <v>65</v>
      </c>
      <c r="N45">
        <v>38</v>
      </c>
      <c r="O45" s="32">
        <f t="shared" si="0"/>
        <v>42.726099999999917</v>
      </c>
      <c r="P45" s="32">
        <f t="shared" si="1"/>
        <v>43.589099999999917</v>
      </c>
      <c r="Q45" s="32">
        <f t="shared" si="2"/>
        <v>43.15769999999992</v>
      </c>
    </row>
    <row r="46" spans="1:17" ht="15.6">
      <c r="A46" s="37"/>
      <c r="B46" s="192">
        <f t="shared" si="6"/>
        <v>114.9579</v>
      </c>
      <c r="C46" s="192">
        <f t="shared" si="7"/>
        <v>116.46039999999999</v>
      </c>
      <c r="D46" s="118"/>
      <c r="E46" s="116">
        <f t="shared" si="4"/>
        <v>66</v>
      </c>
      <c r="N46">
        <v>39</v>
      </c>
      <c r="O46" s="32">
        <f t="shared" si="0"/>
        <v>43.58919999999992</v>
      </c>
      <c r="P46" s="32">
        <f t="shared" si="1"/>
        <v>44.45219999999992</v>
      </c>
      <c r="Q46" s="32">
        <f t="shared" si="2"/>
        <v>44.020799999999923</v>
      </c>
    </row>
    <row r="47" spans="1:17" ht="15.6">
      <c r="A47" s="37"/>
      <c r="B47" s="192">
        <f t="shared" si="6"/>
        <v>116.4605</v>
      </c>
      <c r="C47" s="192">
        <f t="shared" si="7"/>
        <v>117.9631</v>
      </c>
      <c r="D47" s="118"/>
      <c r="E47" s="116">
        <f t="shared" si="4"/>
        <v>67</v>
      </c>
      <c r="N47">
        <v>40</v>
      </c>
      <c r="O47" s="32">
        <f t="shared" si="0"/>
        <v>44.452299999999923</v>
      </c>
      <c r="P47" s="32">
        <f t="shared" si="1"/>
        <v>45.315299999999922</v>
      </c>
      <c r="Q47" s="32">
        <f t="shared" si="2"/>
        <v>44.883899999999926</v>
      </c>
    </row>
    <row r="48" spans="1:17" ht="15.6">
      <c r="A48" s="37"/>
      <c r="B48" s="192">
        <f t="shared" si="6"/>
        <v>117.9632</v>
      </c>
      <c r="C48" s="192">
        <f t="shared" si="7"/>
        <v>119.4658</v>
      </c>
      <c r="D48" s="118"/>
      <c r="E48" s="116">
        <f t="shared" si="4"/>
        <v>68</v>
      </c>
      <c r="N48">
        <v>41</v>
      </c>
      <c r="O48" s="32">
        <f t="shared" si="0"/>
        <v>45.315399999999926</v>
      </c>
      <c r="P48" s="32">
        <f t="shared" si="1"/>
        <v>46.178399999999925</v>
      </c>
      <c r="Q48" s="32">
        <f t="shared" si="2"/>
        <v>45.746999999999929</v>
      </c>
    </row>
    <row r="49" spans="1:17" ht="15.6">
      <c r="A49" s="37"/>
      <c r="B49" s="192">
        <f t="shared" si="6"/>
        <v>119.4659</v>
      </c>
      <c r="C49" s="192">
        <f t="shared" si="7"/>
        <v>120.9684</v>
      </c>
      <c r="D49" s="118"/>
      <c r="E49" s="119">
        <f t="shared" si="4"/>
        <v>69</v>
      </c>
      <c r="N49">
        <v>42</v>
      </c>
      <c r="O49" s="32">
        <f t="shared" si="0"/>
        <v>46.178499999999929</v>
      </c>
      <c r="P49" s="32">
        <f t="shared" si="1"/>
        <v>47.041499999999928</v>
      </c>
      <c r="Q49" s="32">
        <f t="shared" si="2"/>
        <v>46.610099999999932</v>
      </c>
    </row>
    <row r="50" spans="1:17" ht="15.6">
      <c r="A50" s="37"/>
      <c r="B50" s="194">
        <f t="shared" si="6"/>
        <v>120.96850000000001</v>
      </c>
      <c r="C50" s="194">
        <f t="shared" ref="C50:C58" si="8">B51-0.0001</f>
        <v>121.2043</v>
      </c>
      <c r="D50" s="118"/>
      <c r="E50" s="152">
        <f t="shared" ref="E50:E59" si="9">E49+1</f>
        <v>70</v>
      </c>
      <c r="N50">
        <v>43</v>
      </c>
      <c r="O50" s="32">
        <f>O51-0.8631</f>
        <v>47.041599999999931</v>
      </c>
      <c r="P50" s="32">
        <f>O51-0.0001</f>
        <v>47.904599999999931</v>
      </c>
      <c r="Q50" s="32">
        <f t="shared" si="2"/>
        <v>47.473199999999935</v>
      </c>
    </row>
    <row r="51" spans="1:17" ht="15.6">
      <c r="A51" s="37"/>
      <c r="B51" s="192">
        <f t="shared" si="6"/>
        <v>121.20440000000001</v>
      </c>
      <c r="C51" s="192">
        <f t="shared" si="8"/>
        <v>122.7192</v>
      </c>
      <c r="D51" s="118"/>
      <c r="E51" s="119">
        <f t="shared" si="9"/>
        <v>71</v>
      </c>
      <c r="N51">
        <v>44</v>
      </c>
      <c r="O51" s="32">
        <f t="shared" si="0"/>
        <v>47.904699999999934</v>
      </c>
      <c r="P51" s="32">
        <f t="shared" si="1"/>
        <v>48.767699999999934</v>
      </c>
      <c r="Q51" s="32">
        <f t="shared" si="2"/>
        <v>48.336299999999937</v>
      </c>
    </row>
    <row r="52" spans="1:17" ht="15.6">
      <c r="A52" s="37"/>
      <c r="B52" s="192">
        <f t="shared" si="6"/>
        <v>122.7193</v>
      </c>
      <c r="C52" s="192">
        <f t="shared" si="8"/>
        <v>123.67099999999999</v>
      </c>
      <c r="D52" s="118"/>
      <c r="E52" s="116">
        <f t="shared" si="9"/>
        <v>72</v>
      </c>
      <c r="N52">
        <v>45</v>
      </c>
      <c r="O52" s="32">
        <f t="shared" si="0"/>
        <v>48.767799999999937</v>
      </c>
      <c r="P52" s="32">
        <f t="shared" si="1"/>
        <v>49.630799999999937</v>
      </c>
      <c r="Q52" s="32">
        <f t="shared" si="2"/>
        <v>49.19939999999994</v>
      </c>
    </row>
    <row r="53" spans="1:17">
      <c r="B53" s="192">
        <f t="shared" si="6"/>
        <v>123.6711</v>
      </c>
      <c r="C53" s="192">
        <f t="shared" si="8"/>
        <v>125.17359999999999</v>
      </c>
      <c r="E53" s="119">
        <f t="shared" si="9"/>
        <v>73</v>
      </c>
      <c r="N53">
        <v>46</v>
      </c>
      <c r="O53" s="32">
        <f t="shared" si="0"/>
        <v>49.63089999999994</v>
      </c>
      <c r="P53" s="32">
        <f t="shared" si="1"/>
        <v>50.49389999999994</v>
      </c>
      <c r="Q53" s="32">
        <f t="shared" si="2"/>
        <v>50.062499999999943</v>
      </c>
    </row>
    <row r="54" spans="1:17">
      <c r="B54" s="192">
        <f t="shared" si="6"/>
        <v>125.1737</v>
      </c>
      <c r="C54" s="192">
        <f t="shared" si="8"/>
        <v>126.7383</v>
      </c>
      <c r="E54" s="116">
        <f t="shared" si="9"/>
        <v>74</v>
      </c>
      <c r="N54">
        <v>47</v>
      </c>
      <c r="O54" s="32">
        <f t="shared" si="0"/>
        <v>50.493999999999943</v>
      </c>
      <c r="P54" s="32">
        <f t="shared" si="1"/>
        <v>51.356999999999942</v>
      </c>
      <c r="Q54" s="32">
        <f t="shared" si="2"/>
        <v>50.925599999999946</v>
      </c>
    </row>
    <row r="55" spans="1:17">
      <c r="B55" s="192">
        <f t="shared" si="6"/>
        <v>126.7384</v>
      </c>
      <c r="C55" s="192">
        <f t="shared" si="8"/>
        <v>127.7522</v>
      </c>
      <c r="E55" s="116">
        <f t="shared" si="9"/>
        <v>75</v>
      </c>
      <c r="N55">
        <v>48</v>
      </c>
      <c r="O55" s="32">
        <f t="shared" si="0"/>
        <v>51.357099999999946</v>
      </c>
      <c r="P55" s="32">
        <f t="shared" si="1"/>
        <v>52.220099999999945</v>
      </c>
      <c r="Q55" s="32">
        <f t="shared" si="2"/>
        <v>51.788699999999949</v>
      </c>
    </row>
    <row r="56" spans="1:17">
      <c r="B56" s="192">
        <f>ROUND((O83*$K$1),4)</f>
        <v>127.75230000000001</v>
      </c>
      <c r="C56" s="192">
        <f t="shared" si="8"/>
        <v>129.1576</v>
      </c>
      <c r="E56" s="116">
        <f t="shared" si="9"/>
        <v>76</v>
      </c>
      <c r="N56">
        <v>49</v>
      </c>
      <c r="O56" s="32">
        <f t="shared" si="0"/>
        <v>52.220199999999949</v>
      </c>
      <c r="P56" s="32">
        <f t="shared" si="1"/>
        <v>53.083199999999948</v>
      </c>
      <c r="Q56" s="32">
        <f t="shared" si="2"/>
        <v>52.651799999999952</v>
      </c>
    </row>
    <row r="57" spans="1:17">
      <c r="B57" s="192">
        <f>ROUND((O84*$K$1),4)</f>
        <v>129.15770000000001</v>
      </c>
      <c r="C57" s="192">
        <f t="shared" si="8"/>
        <v>130.57839999999999</v>
      </c>
      <c r="E57" s="116">
        <f t="shared" si="9"/>
        <v>77</v>
      </c>
      <c r="N57">
        <v>50</v>
      </c>
      <c r="O57" s="32">
        <f t="shared" si="0"/>
        <v>53.083299999999952</v>
      </c>
      <c r="P57" s="32">
        <f t="shared" si="1"/>
        <v>53.946299999999951</v>
      </c>
      <c r="Q57" s="32">
        <f t="shared" si="2"/>
        <v>53.514899999999955</v>
      </c>
    </row>
    <row r="58" spans="1:17">
      <c r="B58" s="192">
        <f>ROUND((O85*$K$1),4)</f>
        <v>130.57849999999999</v>
      </c>
      <c r="C58" s="192">
        <f t="shared" si="8"/>
        <v>132.0147</v>
      </c>
      <c r="E58" s="116">
        <f t="shared" si="9"/>
        <v>78</v>
      </c>
      <c r="N58">
        <v>51</v>
      </c>
      <c r="O58" s="32">
        <f t="shared" si="0"/>
        <v>53.946399999999954</v>
      </c>
      <c r="P58" s="32">
        <f t="shared" si="1"/>
        <v>54.809399999999954</v>
      </c>
      <c r="Q58" s="32">
        <f t="shared" si="2"/>
        <v>54.377999999999957</v>
      </c>
    </row>
    <row r="59" spans="1:17">
      <c r="B59" s="192">
        <f>ROUND((O86*$K$1),4)</f>
        <v>132.01480000000001</v>
      </c>
      <c r="E59" s="116">
        <f t="shared" si="9"/>
        <v>79</v>
      </c>
      <c r="N59">
        <v>52</v>
      </c>
      <c r="O59" s="32">
        <f t="shared" si="0"/>
        <v>54.809499999999957</v>
      </c>
      <c r="P59" s="32">
        <f t="shared" si="1"/>
        <v>55.672499999999957</v>
      </c>
      <c r="Q59" s="32">
        <f t="shared" si="2"/>
        <v>55.24109999999996</v>
      </c>
    </row>
    <row r="60" spans="1:17">
      <c r="N60">
        <v>53</v>
      </c>
      <c r="O60" s="32">
        <f>O61-0.8631</f>
        <v>55.67259999999996</v>
      </c>
      <c r="P60" s="32">
        <f t="shared" si="1"/>
        <v>56.53559999999996</v>
      </c>
      <c r="Q60" s="32">
        <f t="shared" si="2"/>
        <v>56.104199999999963</v>
      </c>
    </row>
    <row r="61" spans="1:17">
      <c r="N61">
        <v>54</v>
      </c>
      <c r="O61" s="32">
        <f>O63-0.8631</f>
        <v>56.535699999999963</v>
      </c>
      <c r="P61" s="32">
        <f t="shared" si="1"/>
        <v>56.967199999999998</v>
      </c>
      <c r="Q61" s="32">
        <f>O61</f>
        <v>56.535699999999963</v>
      </c>
    </row>
    <row r="62" spans="1:17">
      <c r="N62">
        <v>55</v>
      </c>
      <c r="O62" s="32">
        <f>ROUND((O63-0.43155),4)</f>
        <v>56.967300000000002</v>
      </c>
      <c r="P62" s="32">
        <f t="shared" si="1"/>
        <v>57.398699999999963</v>
      </c>
      <c r="Q62" s="32">
        <f>O62</f>
        <v>56.967300000000002</v>
      </c>
    </row>
    <row r="63" spans="1:17">
      <c r="N63">
        <v>56</v>
      </c>
      <c r="O63" s="32">
        <f>O64-0.8631</f>
        <v>57.398799999999966</v>
      </c>
      <c r="P63" s="32">
        <f t="shared" si="1"/>
        <v>58.261799999999965</v>
      </c>
      <c r="Q63" s="32">
        <f>O63+0.4316</f>
        <v>57.830399999999969</v>
      </c>
    </row>
    <row r="64" spans="1:17">
      <c r="N64">
        <v>57</v>
      </c>
      <c r="O64" s="32">
        <f>O65-0.8631</f>
        <v>58.261899999999969</v>
      </c>
      <c r="P64" s="32">
        <f t="shared" si="1"/>
        <v>59.124899999999968</v>
      </c>
      <c r="Q64" s="32">
        <f>O64+0.4316</f>
        <v>58.693499999999972</v>
      </c>
    </row>
    <row r="65" spans="14:17">
      <c r="N65">
        <v>58</v>
      </c>
      <c r="O65" s="32">
        <f>O66-0.8631</f>
        <v>59.124999999999972</v>
      </c>
      <c r="P65" s="32">
        <f t="shared" si="1"/>
        <v>59.987999999999971</v>
      </c>
      <c r="Q65" s="32">
        <f>O65+0.4316</f>
        <v>59.556599999999975</v>
      </c>
    </row>
    <row r="66" spans="14:17">
      <c r="N66">
        <v>59</v>
      </c>
      <c r="O66" s="32">
        <f>O67-0.8631</f>
        <v>59.988099999999974</v>
      </c>
      <c r="P66" s="32">
        <f t="shared" si="1"/>
        <v>60.851099999999974</v>
      </c>
      <c r="Q66" s="32">
        <v>60.633400000000002</v>
      </c>
    </row>
    <row r="67" spans="14:17">
      <c r="N67">
        <v>60</v>
      </c>
      <c r="O67" s="32">
        <f>O68-0.8631</f>
        <v>60.851199999999977</v>
      </c>
      <c r="P67" s="32">
        <f t="shared" si="1"/>
        <v>61.714199999999977</v>
      </c>
      <c r="Q67" s="38">
        <v>61.391300000000001</v>
      </c>
    </row>
    <row r="68" spans="14:17">
      <c r="N68">
        <v>61</v>
      </c>
      <c r="O68" s="32">
        <f t="shared" ref="O68:O75" si="10">O69-0.8631</f>
        <v>61.71429999999998</v>
      </c>
      <c r="P68" s="32">
        <f t="shared" si="1"/>
        <v>62.57729999999998</v>
      </c>
      <c r="Q68" s="32">
        <f>O68+0.4316</f>
        <v>62.145899999999983</v>
      </c>
    </row>
    <row r="69" spans="14:17">
      <c r="N69">
        <v>62</v>
      </c>
      <c r="O69" s="32">
        <f t="shared" si="10"/>
        <v>62.577399999999983</v>
      </c>
      <c r="P69" s="32">
        <f t="shared" si="1"/>
        <v>63.440399999999983</v>
      </c>
      <c r="Q69" s="32">
        <f>O69+0.4316</f>
        <v>63.008999999999986</v>
      </c>
    </row>
    <row r="70" spans="14:17">
      <c r="N70">
        <v>63</v>
      </c>
      <c r="O70" s="32">
        <f t="shared" si="10"/>
        <v>63.440499999999986</v>
      </c>
      <c r="P70" s="32">
        <f t="shared" si="1"/>
        <v>64.303499999999985</v>
      </c>
      <c r="Q70" s="32">
        <f>O70+0.4316</f>
        <v>63.872099999999989</v>
      </c>
    </row>
    <row r="71" spans="14:17">
      <c r="N71">
        <v>64</v>
      </c>
      <c r="O71" s="32">
        <f t="shared" si="10"/>
        <v>64.303599999999989</v>
      </c>
      <c r="P71" s="32">
        <f t="shared" si="1"/>
        <v>65.166599999999988</v>
      </c>
      <c r="Q71" s="32">
        <v>64.884799999999998</v>
      </c>
    </row>
    <row r="72" spans="14:17">
      <c r="N72">
        <v>65</v>
      </c>
      <c r="O72" s="32">
        <f t="shared" si="10"/>
        <v>65.166699999999992</v>
      </c>
      <c r="P72" s="32">
        <f t="shared" ref="P72:P78" si="11">O73-0.0001</f>
        <v>66.029699999999991</v>
      </c>
      <c r="Q72" s="38">
        <v>65.695899999999995</v>
      </c>
    </row>
    <row r="73" spans="14:17">
      <c r="N73">
        <v>66</v>
      </c>
      <c r="O73" s="32">
        <f t="shared" si="10"/>
        <v>66.029799999999994</v>
      </c>
      <c r="P73" s="32">
        <f t="shared" si="11"/>
        <v>66.892799999999994</v>
      </c>
      <c r="Q73" s="32">
        <f>O73+0.4316</f>
        <v>66.461399999999998</v>
      </c>
    </row>
    <row r="74" spans="14:17">
      <c r="N74">
        <v>67</v>
      </c>
      <c r="O74" s="32">
        <f t="shared" si="10"/>
        <v>66.892899999999997</v>
      </c>
      <c r="P74" s="32">
        <f t="shared" si="11"/>
        <v>67.755899999999997</v>
      </c>
      <c r="Q74" s="32">
        <f>O74+0.4316</f>
        <v>67.3245</v>
      </c>
    </row>
    <row r="75" spans="14:17">
      <c r="N75">
        <v>68</v>
      </c>
      <c r="O75" s="32">
        <f t="shared" si="10"/>
        <v>67.756</v>
      </c>
      <c r="P75" s="32">
        <f t="shared" si="11"/>
        <v>68.619</v>
      </c>
      <c r="Q75" s="32">
        <f>O75+0.4316</f>
        <v>68.187600000000003</v>
      </c>
    </row>
    <row r="76" spans="14:17">
      <c r="N76">
        <v>69</v>
      </c>
      <c r="O76" s="32">
        <f>O77-0.8631</f>
        <v>68.619100000000003</v>
      </c>
      <c r="P76" s="32">
        <f t="shared" si="11"/>
        <v>69.482100000000003</v>
      </c>
      <c r="Q76" s="32">
        <f>O76+0.4316</f>
        <v>69.050700000000006</v>
      </c>
    </row>
    <row r="77" spans="14:17">
      <c r="N77">
        <v>70</v>
      </c>
      <c r="O77" s="32">
        <f>O78-0.1355</f>
        <v>69.482200000000006</v>
      </c>
      <c r="P77" s="32">
        <f t="shared" si="11"/>
        <v>69.617599999999996</v>
      </c>
      <c r="Q77" s="32">
        <v>69.617599999999996</v>
      </c>
    </row>
    <row r="78" spans="14:17">
      <c r="N78">
        <v>71</v>
      </c>
      <c r="O78">
        <v>69.617699999999999</v>
      </c>
      <c r="P78" s="32">
        <f t="shared" si="11"/>
        <v>70.48769999999999</v>
      </c>
      <c r="Q78" s="32">
        <v>70.052800000000005</v>
      </c>
    </row>
    <row r="79" spans="14:17">
      <c r="N79">
        <v>72</v>
      </c>
      <c r="O79">
        <v>70.487799999999993</v>
      </c>
      <c r="P79">
        <v>71.034400000000005</v>
      </c>
      <c r="Q79">
        <v>70.487799999999993</v>
      </c>
    </row>
    <row r="80" spans="14:17">
      <c r="N80">
        <v>73</v>
      </c>
      <c r="O80">
        <v>71.034499999999994</v>
      </c>
      <c r="P80">
        <v>71.897499999999994</v>
      </c>
      <c r="Q80" s="32">
        <v>71.465999999999994</v>
      </c>
    </row>
    <row r="81" spans="14:17">
      <c r="N81">
        <v>74</v>
      </c>
      <c r="O81">
        <v>71.897599999999997</v>
      </c>
      <c r="P81">
        <v>72.796199999999999</v>
      </c>
      <c r="Q81" s="32">
        <v>71.897599999999997</v>
      </c>
    </row>
    <row r="82" spans="14:17">
      <c r="N82">
        <v>75</v>
      </c>
      <c r="O82">
        <v>72.796300000000002</v>
      </c>
      <c r="P82">
        <v>73.378600000000006</v>
      </c>
      <c r="Q82" s="32">
        <v>72.796300000000002</v>
      </c>
    </row>
    <row r="83" spans="14:17">
      <c r="N83">
        <v>76</v>
      </c>
      <c r="O83">
        <v>73.378699999999995</v>
      </c>
      <c r="P83">
        <v>74.1858</v>
      </c>
      <c r="Q83" s="32">
        <v>73.378699999999995</v>
      </c>
    </row>
    <row r="84" spans="14:17">
      <c r="N84">
        <v>77</v>
      </c>
      <c r="O84">
        <v>74.185900000000004</v>
      </c>
      <c r="P84">
        <v>75.001900000000006</v>
      </c>
      <c r="Q84" s="32">
        <v>74.185900000000004</v>
      </c>
    </row>
    <row r="85" spans="14:17">
      <c r="N85">
        <v>78</v>
      </c>
      <c r="O85" s="32">
        <v>75.001999999999995</v>
      </c>
      <c r="P85">
        <v>75.826899999999995</v>
      </c>
      <c r="Q85" s="32">
        <v>75.001999999999995</v>
      </c>
    </row>
    <row r="86" spans="14:17">
      <c r="N86">
        <v>79</v>
      </c>
      <c r="O86" s="32">
        <v>75.826999999999998</v>
      </c>
      <c r="Q86" s="32">
        <v>75.826999999999998</v>
      </c>
    </row>
    <row r="87" spans="14:17">
      <c r="O87" s="39"/>
      <c r="Q87" s="32"/>
    </row>
    <row r="89" spans="14:17">
      <c r="O89" s="39"/>
      <c r="Q89" s="32"/>
    </row>
    <row r="91" spans="14:17">
      <c r="O91" s="40"/>
      <c r="Q91" s="32"/>
    </row>
    <row r="92" spans="14:17">
      <c r="O92" s="40"/>
    </row>
    <row r="93" spans="14:17">
      <c r="O93" s="40"/>
      <c r="Q93" s="32"/>
    </row>
    <row r="94" spans="14:17">
      <c r="O94" s="40"/>
    </row>
    <row r="95" spans="14:17">
      <c r="O95" s="40"/>
      <c r="Q95" s="32"/>
    </row>
    <row r="96" spans="14:17">
      <c r="O96" s="40"/>
    </row>
  </sheetData>
  <sheetProtection algorithmName="SHA-512" hashValue="WFpB4w3M9tI9ssxzZhppDWlXSy8obPB7lckhrMY/QiYppQXqcOZEM+y/T3+vZ3TdkrOfNMW1sevdOrLbkq1ORA==" saltValue="EfoiV+Wtn3TMOvkPo968rw==" spinCount="100000" sheet="1" objects="1" scenarios="1"/>
  <mergeCells count="10">
    <mergeCell ref="A1:B1"/>
    <mergeCell ref="A2:B2"/>
    <mergeCell ref="H1:J1"/>
    <mergeCell ref="B7:C7"/>
    <mergeCell ref="I7:J7"/>
    <mergeCell ref="G3:G4"/>
    <mergeCell ref="I3:I4"/>
    <mergeCell ref="C2:F2"/>
    <mergeCell ref="C1:F1"/>
    <mergeCell ref="B6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&amp;LRijksdienst voor Arbeidsvoorziening&amp;ROffice national de l'Emploi</oddFooter>
  </headerFooter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58"/>
  <sheetViews>
    <sheetView showGridLines="0" zoomScaleNormal="100" workbookViewId="0">
      <pane xSplit="3" ySplit="7" topLeftCell="D8" activePane="bottomRight" state="frozen"/>
      <selection activeCell="A2" sqref="A2"/>
      <selection pane="topRight" activeCell="A2" sqref="A2"/>
      <selection pane="bottomLeft" activeCell="A2" sqref="A2"/>
      <selection pane="bottomRight" activeCell="A2" sqref="A2:B2"/>
    </sheetView>
  </sheetViews>
  <sheetFormatPr defaultColWidth="9.109375" defaultRowHeight="14.4"/>
  <cols>
    <col min="1" max="2" width="9.109375" style="122"/>
    <col min="3" max="3" width="9.33203125" style="122" bestFit="1" customWidth="1"/>
    <col min="4" max="4" width="10.88671875" style="122" bestFit="1" customWidth="1"/>
    <col min="5" max="5" width="10" style="122" customWidth="1"/>
    <col min="6" max="6" width="10.88671875" style="122" bestFit="1" customWidth="1"/>
    <col min="7" max="7" width="10.5546875" style="122" bestFit="1" customWidth="1"/>
    <col min="8" max="13" width="10.88671875" style="122" bestFit="1" customWidth="1"/>
    <col min="14" max="14" width="10.88671875" bestFit="1" customWidth="1"/>
    <col min="15" max="15" width="0.6640625" style="122" customWidth="1"/>
    <col min="16" max="16" width="9.33203125" style="122" bestFit="1" customWidth="1"/>
    <col min="17" max="17" width="0.6640625" style="122" customWidth="1"/>
    <col min="18" max="22" width="10.88671875" style="122" bestFit="1" customWidth="1"/>
    <col min="23" max="16384" width="9.109375" style="122"/>
  </cols>
  <sheetData>
    <row r="1" spans="1:30" ht="15.6">
      <c r="A1" s="633" t="s">
        <v>33</v>
      </c>
      <c r="B1" s="634"/>
      <c r="C1" s="646" t="s">
        <v>82</v>
      </c>
      <c r="D1" s="647"/>
      <c r="E1" s="647"/>
      <c r="F1" s="647"/>
      <c r="G1" s="120"/>
      <c r="H1" s="120"/>
      <c r="I1" s="653" t="s">
        <v>34</v>
      </c>
      <c r="J1" s="653"/>
      <c r="K1" s="653"/>
      <c r="L1" s="498">
        <f>Basisbedragen!$H$2</f>
        <v>1.7410000000000001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ht="15.75" customHeight="1">
      <c r="A2" s="651">
        <f>'Loonschijven_Tranches salariale'!A2:B2</f>
        <v>45689</v>
      </c>
      <c r="B2" s="652"/>
      <c r="C2" s="644" t="s">
        <v>80</v>
      </c>
      <c r="D2" s="645"/>
      <c r="E2" s="645"/>
      <c r="F2" s="645"/>
      <c r="G2" s="120"/>
      <c r="H2" s="120"/>
      <c r="I2" s="123"/>
      <c r="J2" s="124"/>
      <c r="K2" s="109"/>
      <c r="L2" s="121"/>
      <c r="M2" s="121"/>
      <c r="O2" s="12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>
      <c r="A3" s="126"/>
      <c r="B3" s="126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O3" s="12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15.6">
      <c r="A4" s="127"/>
      <c r="B4" s="128"/>
      <c r="C4" s="129"/>
      <c r="D4" s="130"/>
      <c r="E4" s="131"/>
      <c r="F4" s="132"/>
      <c r="G4" s="132"/>
      <c r="H4" s="132"/>
      <c r="I4" s="132"/>
      <c r="J4" s="132"/>
      <c r="K4" s="132"/>
      <c r="L4" s="132"/>
      <c r="M4" s="132"/>
      <c r="O4" s="132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ht="16.2" thickBot="1">
      <c r="A5" s="133"/>
      <c r="B5" s="134"/>
      <c r="C5" s="135"/>
      <c r="D5" s="136"/>
      <c r="E5" s="137"/>
      <c r="F5" s="136"/>
      <c r="G5" s="136"/>
      <c r="H5" s="136"/>
      <c r="I5" s="136"/>
      <c r="J5" s="136"/>
      <c r="K5" s="136"/>
      <c r="L5" s="136"/>
      <c r="M5" s="136"/>
      <c r="O5" s="136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5" thickBot="1">
      <c r="A6" s="138"/>
      <c r="B6" s="139"/>
      <c r="C6" s="140"/>
      <c r="D6" s="648">
        <f>A2</f>
        <v>45689</v>
      </c>
      <c r="E6" s="649"/>
      <c r="F6" s="649"/>
      <c r="G6" s="649"/>
      <c r="H6" s="649"/>
      <c r="I6" s="649"/>
      <c r="J6" s="649"/>
      <c r="K6" s="649"/>
      <c r="L6" s="649"/>
      <c r="M6" s="649"/>
      <c r="N6" s="65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35.4" thickBot="1">
      <c r="A7" s="141" t="s">
        <v>81</v>
      </c>
      <c r="B7" s="126"/>
      <c r="C7" s="147" t="s">
        <v>35</v>
      </c>
      <c r="D7" s="142">
        <v>40</v>
      </c>
      <c r="E7" s="143">
        <v>39.5</v>
      </c>
      <c r="F7" s="143">
        <v>39</v>
      </c>
      <c r="G7" s="143">
        <v>38.5</v>
      </c>
      <c r="H7" s="143">
        <v>38</v>
      </c>
      <c r="I7" s="143">
        <v>37.5</v>
      </c>
      <c r="J7" s="143">
        <v>37</v>
      </c>
      <c r="K7" s="143">
        <v>36.5</v>
      </c>
      <c r="L7" s="143">
        <v>36</v>
      </c>
      <c r="M7" s="144">
        <v>35.5</v>
      </c>
      <c r="N7" s="145">
        <v>35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>
      <c r="A8" s="146"/>
      <c r="B8" s="146"/>
      <c r="C8" s="265">
        <f>29</f>
        <v>29</v>
      </c>
      <c r="D8" s="187">
        <f>ROUND('Loonschijven_Tranches salariale'!$B9*6/D$7+0.000049,4)</f>
        <v>9.1294000000000004</v>
      </c>
      <c r="E8" s="187">
        <f>ROUND('Loonschijven_Tranches salariale'!$B9*6/E$7+0.000049,4)</f>
        <v>9.2448999999999995</v>
      </c>
      <c r="F8" s="187">
        <f>ROUND('Loonschijven_Tranches salariale'!$B9*6/F$7+0.000049,4)</f>
        <v>9.3635000000000002</v>
      </c>
      <c r="G8" s="187">
        <f>ROUND('Loonschijven_Tranches salariale'!$B9*6/G$7+0.000049,4)</f>
        <v>9.4850999999999992</v>
      </c>
      <c r="H8" s="187">
        <f>ROUND('Loonschijven_Tranches salariale'!$B9*6/H$7+0.000049,4)</f>
        <v>9.6098999999999997</v>
      </c>
      <c r="I8" s="187">
        <f>ROUND('Loonschijven_Tranches salariale'!$B9*6/I$7+0.000049,4)</f>
        <v>9.7379999999999995</v>
      </c>
      <c r="J8" s="187">
        <f>ROUND('Loonschijven_Tranches salariale'!$B9*6/J$7+0.000049,4)</f>
        <v>9.8696000000000002</v>
      </c>
      <c r="K8" s="187">
        <f>ROUND('Loonschijven_Tranches salariale'!$B9*6/K$7+0.000049,4)</f>
        <v>10.004799999999999</v>
      </c>
      <c r="L8" s="187">
        <f>ROUND('Loonschijven_Tranches salariale'!$B9*6/L$7+0.000049,4)</f>
        <v>10.143700000000001</v>
      </c>
      <c r="M8" s="187">
        <f>ROUND('Loonschijven_Tranches salariale'!$B9*6/M$7+0.000049,4)</f>
        <v>10.2866</v>
      </c>
      <c r="N8" s="188">
        <f>ROUND('Loonschijven_Tranches salariale'!$B9*6/N$7+0.000049,4)</f>
        <v>10.4336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>
      <c r="A9" s="146"/>
      <c r="B9" s="146"/>
      <c r="C9" s="266">
        <f t="shared" ref="C9:C33" si="0">C8+1</f>
        <v>30</v>
      </c>
      <c r="D9" s="189">
        <f>ROUND('Loonschijven_Tranches salariale'!$B10*6/D$7+0.000049,4)</f>
        <v>9.3547999999999991</v>
      </c>
      <c r="E9" s="189">
        <f>ROUND('Loonschijven_Tranches salariale'!$B10*6/E$7+0.000049,4)</f>
        <v>9.4732000000000003</v>
      </c>
      <c r="F9" s="189">
        <f>ROUND('Loonschijven_Tranches salariale'!$B10*6/F$7+0.000049,4)</f>
        <v>9.5945999999999998</v>
      </c>
      <c r="G9" s="189">
        <f>ROUND('Loonschijven_Tranches salariale'!$B10*6/G$7+0.000049,4)</f>
        <v>9.7193000000000005</v>
      </c>
      <c r="H9" s="189">
        <f>ROUND('Loonschijven_Tranches salariale'!$B10*6/H$7+0.000049,4)</f>
        <v>9.8470999999999993</v>
      </c>
      <c r="I9" s="189">
        <f>ROUND('Loonschijven_Tranches salariale'!$B10*6/I$7+0.000049,4)</f>
        <v>9.9784000000000006</v>
      </c>
      <c r="J9" s="189">
        <f>ROUND('Loonschijven_Tranches salariale'!$B10*6/J$7+0.000049,4)</f>
        <v>10.113300000000001</v>
      </c>
      <c r="K9" s="189">
        <f>ROUND('Loonschijven_Tranches salariale'!$B10*6/K$7+0.000049,4)</f>
        <v>10.251799999999999</v>
      </c>
      <c r="L9" s="189">
        <f>ROUND('Loonschijven_Tranches salariale'!$B10*6/L$7+0.000049,4)</f>
        <v>10.3942</v>
      </c>
      <c r="M9" s="189">
        <f>ROUND('Loonschijven_Tranches salariale'!$B10*6/M$7+0.000049,4)</f>
        <v>10.5406</v>
      </c>
      <c r="N9" s="190">
        <f>ROUND('Loonschijven_Tranches salariale'!$B10*6/N$7+0.000049,4)</f>
        <v>10.6912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>
      <c r="A10" s="146"/>
      <c r="B10" s="146"/>
      <c r="C10" s="265">
        <f t="shared" si="0"/>
        <v>31</v>
      </c>
      <c r="D10" s="187">
        <f>ROUND('Loonschijven_Tranches salariale'!$B11*6/D$7+0.000049,4)</f>
        <v>9.5801999999999996</v>
      </c>
      <c r="E10" s="187">
        <f>ROUND('Loonschijven_Tranches salariale'!$B11*6/E$7+0.000049,4)</f>
        <v>9.7013999999999996</v>
      </c>
      <c r="F10" s="187">
        <f>ROUND('Loonschijven_Tranches salariale'!$B11*6/F$7+0.000049,4)</f>
        <v>9.8257999999999992</v>
      </c>
      <c r="G10" s="187">
        <f>ROUND('Loonschijven_Tranches salariale'!$B11*6/G$7+0.000049,4)</f>
        <v>9.9534000000000002</v>
      </c>
      <c r="H10" s="187">
        <f>ROUND('Loonschijven_Tranches salariale'!$B11*6/H$7+0.000049,4)</f>
        <v>10.0844</v>
      </c>
      <c r="I10" s="187">
        <f>ROUND('Loonschijven_Tranches salariale'!$B11*6/I$7+0.000049,4)</f>
        <v>10.2188</v>
      </c>
      <c r="J10" s="187">
        <f>ROUND('Loonschijven_Tranches salariale'!$B11*6/J$7+0.000049,4)</f>
        <v>10.3569</v>
      </c>
      <c r="K10" s="187">
        <f>ROUND('Loonschijven_Tranches salariale'!$B11*6/K$7+0.000049,4)</f>
        <v>10.498799999999999</v>
      </c>
      <c r="L10" s="187">
        <f>ROUND('Loonschijven_Tranches salariale'!$B11*6/L$7+0.000049,4)</f>
        <v>10.644600000000001</v>
      </c>
      <c r="M10" s="187">
        <f>ROUND('Loonschijven_Tranches salariale'!$B11*6/M$7+0.000049,4)</f>
        <v>10.794600000000001</v>
      </c>
      <c r="N10" s="191">
        <f>ROUND('Loonschijven_Tranches salariale'!$B11*6/N$7+0.000049,4)</f>
        <v>10.9488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>
      <c r="A11" s="146"/>
      <c r="B11" s="146"/>
      <c r="C11" s="265">
        <f t="shared" si="0"/>
        <v>32</v>
      </c>
      <c r="D11" s="187">
        <f>ROUND('Loonschijven_Tranches salariale'!$B12*6/D$7+0.000049,4)</f>
        <v>9.8056000000000001</v>
      </c>
      <c r="E11" s="187">
        <f>ROUND('Loonschijven_Tranches salariale'!$B12*6/E$7+0.000049,4)</f>
        <v>9.9297000000000004</v>
      </c>
      <c r="F11" s="187">
        <f>ROUND('Loonschijven_Tranches salariale'!$B12*6/F$7+0.000049,4)</f>
        <v>10.057</v>
      </c>
      <c r="G11" s="187">
        <f>ROUND('Loonschijven_Tranches salariale'!$B12*6/G$7+0.000049,4)</f>
        <v>10.1876</v>
      </c>
      <c r="H11" s="187">
        <f>ROUND('Loonschijven_Tranches salariale'!$B12*6/H$7+0.000049,4)</f>
        <v>10.3217</v>
      </c>
      <c r="I11" s="187">
        <f>ROUND('Loonschijven_Tranches salariale'!$B12*6/I$7+0.000049,4)</f>
        <v>10.459300000000001</v>
      </c>
      <c r="J11" s="187">
        <f>ROUND('Loonschijven_Tranches salariale'!$B12*6/J$7+0.000049,4)</f>
        <v>10.6006</v>
      </c>
      <c r="K11" s="187">
        <f>ROUND('Loonschijven_Tranches salariale'!$B12*6/K$7+0.000049,4)</f>
        <v>10.745799999999999</v>
      </c>
      <c r="L11" s="187">
        <f>ROUND('Loonschijven_Tranches salariale'!$B12*6/L$7+0.000049,4)</f>
        <v>10.895099999999999</v>
      </c>
      <c r="M11" s="187">
        <f>ROUND('Loonschijven_Tranches salariale'!$B12*6/M$7+0.000049,4)</f>
        <v>11.048500000000001</v>
      </c>
      <c r="N11" s="191">
        <f>ROUND('Loonschijven_Tranches salariale'!$B12*6/N$7+0.000049,4)</f>
        <v>11.2064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>
      <c r="A12" s="146"/>
      <c r="B12" s="146"/>
      <c r="C12" s="265">
        <f t="shared" si="0"/>
        <v>33</v>
      </c>
      <c r="D12" s="187">
        <f>ROUND('Loonschijven_Tranches salariale'!$B13*6/D$7+0.000049,4)</f>
        <v>10.031000000000001</v>
      </c>
      <c r="E12" s="187">
        <f>ROUND('Loonschijven_Tranches salariale'!$B13*6/E$7+0.000049,4)</f>
        <v>10.157999999999999</v>
      </c>
      <c r="F12" s="187">
        <f>ROUND('Loonschijven_Tranches salariale'!$B13*6/F$7+0.000049,4)</f>
        <v>10.2882</v>
      </c>
      <c r="G12" s="187">
        <f>ROUND('Loonschijven_Tranches salariale'!$B13*6/G$7+0.000049,4)</f>
        <v>10.421799999999999</v>
      </c>
      <c r="H12" s="187">
        <f>ROUND('Loonschijven_Tranches salariale'!$B13*6/H$7+0.000049,4)</f>
        <v>10.5589</v>
      </c>
      <c r="I12" s="187">
        <f>ROUND('Loonschijven_Tranches salariale'!$B13*6/I$7+0.000049,4)</f>
        <v>10.6997</v>
      </c>
      <c r="J12" s="187">
        <f>ROUND('Loonschijven_Tranches salariale'!$B13*6/J$7+0.000049,4)</f>
        <v>10.8443</v>
      </c>
      <c r="K12" s="187">
        <f>ROUND('Loonschijven_Tranches salariale'!$B13*6/K$7+0.000049,4)</f>
        <v>10.992900000000001</v>
      </c>
      <c r="L12" s="187">
        <f>ROUND('Loonschijven_Tranches salariale'!$B13*6/L$7+0.000049,4)</f>
        <v>11.1455</v>
      </c>
      <c r="M12" s="187">
        <f>ROUND('Loonschijven_Tranches salariale'!$B13*6/M$7+0.000049,4)</f>
        <v>11.3025</v>
      </c>
      <c r="N12" s="191">
        <f>ROUND('Loonschijven_Tranches salariale'!$B13*6/N$7+0.000049,4)</f>
        <v>11.464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>
      <c r="A13" s="146"/>
      <c r="B13" s="146"/>
      <c r="C13" s="265">
        <f t="shared" si="0"/>
        <v>34</v>
      </c>
      <c r="D13" s="187">
        <f>ROUND('Loonschijven_Tranches salariale'!$B14*6/D$7+0.000049,4)</f>
        <v>10.256399999999999</v>
      </c>
      <c r="E13" s="187">
        <f>ROUND('Loonschijven_Tranches salariale'!$B14*6/E$7+0.000049,4)</f>
        <v>10.386200000000001</v>
      </c>
      <c r="F13" s="187">
        <f>ROUND('Loonschijven_Tranches salariale'!$B14*6/F$7+0.000049,4)</f>
        <v>10.519399999999999</v>
      </c>
      <c r="G13" s="187">
        <f>ROUND('Loonschijven_Tranches salariale'!$B14*6/G$7+0.000049,4)</f>
        <v>10.656000000000001</v>
      </c>
      <c r="H13" s="187">
        <f>ROUND('Loonschijven_Tranches salariale'!$B14*6/H$7+0.000049,4)</f>
        <v>10.796200000000001</v>
      </c>
      <c r="I13" s="187">
        <f>ROUND('Loonschijven_Tranches salariale'!$B14*6/I$7+0.000049,4)</f>
        <v>10.940099999999999</v>
      </c>
      <c r="J13" s="187">
        <f>ROUND('Loonschijven_Tranches salariale'!$B14*6/J$7+0.000049,4)</f>
        <v>11.087999999999999</v>
      </c>
      <c r="K13" s="187">
        <f>ROUND('Loonschijven_Tranches salariale'!$B14*6/K$7+0.000049,4)</f>
        <v>11.2399</v>
      </c>
      <c r="L13" s="187">
        <f>ROUND('Loonschijven_Tranches salariale'!$B14*6/L$7+0.000049,4)</f>
        <v>11.396000000000001</v>
      </c>
      <c r="M13" s="187">
        <f>ROUND('Loonschijven_Tranches salariale'!$B14*6/M$7+0.000049,4)</f>
        <v>11.5565</v>
      </c>
      <c r="N13" s="191">
        <f>ROUND('Loonschijven_Tranches salariale'!$B14*6/N$7+0.000049,4)</f>
        <v>11.7216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>
      <c r="A14" s="146"/>
      <c r="B14" s="146"/>
      <c r="C14" s="266">
        <f t="shared" si="0"/>
        <v>35</v>
      </c>
      <c r="D14" s="189">
        <f>ROUND('Loonschijven_Tranches salariale'!$B15*6/D$7+0.000049,4)</f>
        <v>10.4818</v>
      </c>
      <c r="E14" s="189">
        <f>ROUND('Loonschijven_Tranches salariale'!$B15*6/E$7+0.000049,4)</f>
        <v>10.6145</v>
      </c>
      <c r="F14" s="189">
        <f>ROUND('Loonschijven_Tranches salariale'!$B15*6/F$7+0.000049,4)</f>
        <v>10.750500000000001</v>
      </c>
      <c r="G14" s="189">
        <f>ROUND('Loonschijven_Tranches salariale'!$B15*6/G$7+0.000049,4)</f>
        <v>10.8902</v>
      </c>
      <c r="H14" s="189">
        <f>ROUND('Loonschijven_Tranches salariale'!$B15*6/H$7+0.000049,4)</f>
        <v>11.0334</v>
      </c>
      <c r="I14" s="189">
        <f>ROUND('Loonschijven_Tranches salariale'!$B15*6/I$7+0.000049,4)</f>
        <v>11.1806</v>
      </c>
      <c r="J14" s="189">
        <f>ROUND('Loonschijven_Tranches salariale'!$B15*6/J$7+0.000049,4)</f>
        <v>11.3316</v>
      </c>
      <c r="K14" s="189">
        <f>ROUND('Loonschijven_Tranches salariale'!$B15*6/K$7+0.000049,4)</f>
        <v>11.4869</v>
      </c>
      <c r="L14" s="189">
        <f>ROUND('Loonschijven_Tranches salariale'!$B15*6/L$7+0.000049,4)</f>
        <v>11.6464</v>
      </c>
      <c r="M14" s="189">
        <f>ROUND('Loonschijven_Tranches salariale'!$B15*6/M$7+0.000049,4)</f>
        <v>11.8104</v>
      </c>
      <c r="N14" s="190">
        <f>ROUND('Loonschijven_Tranches salariale'!$B15*6/N$7+0.000049,4)</f>
        <v>11.979200000000001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>
      <c r="A15" s="146"/>
      <c r="B15" s="146"/>
      <c r="C15" s="265">
        <f t="shared" si="0"/>
        <v>36</v>
      </c>
      <c r="D15" s="187">
        <f>ROUND('Loonschijven_Tranches salariale'!$B16*6/D$7+0.000049,4)</f>
        <v>10.7072</v>
      </c>
      <c r="E15" s="187">
        <f>ROUND('Loonschijven_Tranches salariale'!$B16*6/E$7+0.000049,4)</f>
        <v>10.842700000000001</v>
      </c>
      <c r="F15" s="187">
        <f>ROUND('Loonschijven_Tranches salariale'!$B16*6/F$7+0.000049,4)</f>
        <v>10.9817</v>
      </c>
      <c r="G15" s="187">
        <f>ROUND('Loonschijven_Tranches salariale'!$B16*6/G$7+0.000049,4)</f>
        <v>11.1243</v>
      </c>
      <c r="H15" s="187">
        <f>ROUND('Loonschijven_Tranches salariale'!$B16*6/H$7+0.000049,4)</f>
        <v>11.2707</v>
      </c>
      <c r="I15" s="187">
        <f>ROUND('Loonschijven_Tranches salariale'!$B16*6/I$7+0.000049,4)</f>
        <v>11.420999999999999</v>
      </c>
      <c r="J15" s="187">
        <f>ROUND('Loonschijven_Tranches salariale'!$B16*6/J$7+0.000049,4)</f>
        <v>11.5753</v>
      </c>
      <c r="K15" s="187">
        <f>ROUND('Loonschijven_Tranches salariale'!$B16*6/K$7+0.000049,4)</f>
        <v>11.7339</v>
      </c>
      <c r="L15" s="187">
        <f>ROUND('Loonschijven_Tranches salariale'!$B16*6/L$7+0.000049,4)</f>
        <v>11.896800000000001</v>
      </c>
      <c r="M15" s="187">
        <f>ROUND('Loonschijven_Tranches salariale'!$B16*6/M$7+0.000049,4)</f>
        <v>12.064399999999999</v>
      </c>
      <c r="N15" s="191">
        <f>ROUND('Loonschijven_Tranches salariale'!$B16*6/N$7+0.000049,4)</f>
        <v>12.236800000000001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>
      <c r="A16" s="146"/>
      <c r="B16" s="146"/>
      <c r="C16" s="265">
        <f t="shared" si="0"/>
        <v>37</v>
      </c>
      <c r="D16" s="187">
        <f>ROUND('Loonschijven_Tranches salariale'!$B17*6/D$7+0.000049,4)</f>
        <v>10.932600000000001</v>
      </c>
      <c r="E16" s="187">
        <f>ROUND('Loonschijven_Tranches salariale'!$B17*6/E$7+0.000049,4)</f>
        <v>11.071</v>
      </c>
      <c r="F16" s="187">
        <f>ROUND('Loonschijven_Tranches salariale'!$B17*6/F$7+0.000049,4)</f>
        <v>11.212899999999999</v>
      </c>
      <c r="G16" s="187">
        <f>ROUND('Loonschijven_Tranches salariale'!$B17*6/G$7+0.000049,4)</f>
        <v>11.358499999999999</v>
      </c>
      <c r="H16" s="187">
        <f>ROUND('Loonschijven_Tranches salariale'!$B17*6/H$7+0.000049,4)</f>
        <v>11.507999999999999</v>
      </c>
      <c r="I16" s="187">
        <f>ROUND('Loonschijven_Tranches salariale'!$B17*6/I$7+0.000049,4)</f>
        <v>11.6614</v>
      </c>
      <c r="J16" s="187">
        <f>ROUND('Loonschijven_Tranches salariale'!$B17*6/J$7+0.000049,4)</f>
        <v>11.819000000000001</v>
      </c>
      <c r="K16" s="187">
        <f>ROUND('Loonschijven_Tranches salariale'!$B17*6/K$7+0.000049,4)</f>
        <v>11.9809</v>
      </c>
      <c r="L16" s="187">
        <f>ROUND('Loonschijven_Tranches salariale'!$B17*6/L$7+0.000049,4)</f>
        <v>12.1473</v>
      </c>
      <c r="M16" s="187">
        <f>ROUND('Loonschijven_Tranches salariale'!$B17*6/M$7+0.000049,4)</f>
        <v>12.3184</v>
      </c>
      <c r="N16" s="191">
        <f>ROUND('Loonschijven_Tranches salariale'!$B17*6/N$7+0.000049,4)</f>
        <v>12.494400000000001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>
      <c r="A17" s="146"/>
      <c r="B17" s="146"/>
      <c r="C17" s="265">
        <f t="shared" si="0"/>
        <v>38</v>
      </c>
      <c r="D17" s="187">
        <f>ROUND('Loonschijven_Tranches salariale'!$B18*6/D$7+0.000049,4)</f>
        <v>11.157999999999999</v>
      </c>
      <c r="E17" s="187">
        <f>ROUND('Loonschijven_Tranches salariale'!$B18*6/E$7+0.000049,4)</f>
        <v>11.299200000000001</v>
      </c>
      <c r="F17" s="187">
        <f>ROUND('Loonschijven_Tranches salariale'!$B18*6/F$7+0.000049,4)</f>
        <v>11.444100000000001</v>
      </c>
      <c r="G17" s="187">
        <f>ROUND('Loonschijven_Tranches salariale'!$B18*6/G$7+0.000049,4)</f>
        <v>11.592700000000001</v>
      </c>
      <c r="H17" s="187">
        <f>ROUND('Loonschijven_Tranches salariale'!$B18*6/H$7+0.000049,4)</f>
        <v>11.745200000000001</v>
      </c>
      <c r="I17" s="187">
        <f>ROUND('Loonschijven_Tranches salariale'!$B18*6/I$7+0.000049,4)</f>
        <v>11.9018</v>
      </c>
      <c r="J17" s="187">
        <f>ROUND('Loonschijven_Tranches salariale'!$B18*6/J$7+0.000049,4)</f>
        <v>12.0627</v>
      </c>
      <c r="K17" s="187">
        <f>ROUND('Loonschijven_Tranches salariale'!$B18*6/K$7+0.000049,4)</f>
        <v>12.2279</v>
      </c>
      <c r="L17" s="187">
        <f>ROUND('Loonschijven_Tranches salariale'!$B18*6/L$7+0.000049,4)</f>
        <v>12.3977</v>
      </c>
      <c r="M17" s="187">
        <f>ROUND('Loonschijven_Tranches salariale'!$B18*6/M$7+0.000049,4)</f>
        <v>12.5723</v>
      </c>
      <c r="N17" s="191">
        <f>ROUND('Loonschijven_Tranches salariale'!$B18*6/N$7+0.000049,4)</f>
        <v>12.752000000000001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>
      <c r="A18" s="146"/>
      <c r="B18" s="146"/>
      <c r="C18" s="265">
        <f t="shared" si="0"/>
        <v>39</v>
      </c>
      <c r="D18" s="187">
        <f>ROUND('Loonschijven_Tranches salariale'!$B19*6/D$7+0.000049,4)</f>
        <v>11.3834</v>
      </c>
      <c r="E18" s="187">
        <f>ROUND('Loonschijven_Tranches salariale'!$B19*6/E$7+0.000049,4)</f>
        <v>11.5275</v>
      </c>
      <c r="F18" s="187">
        <f>ROUND('Loonschijven_Tranches salariale'!$B19*6/F$7+0.000049,4)</f>
        <v>11.6752</v>
      </c>
      <c r="G18" s="187">
        <f>ROUND('Loonschijven_Tranches salariale'!$B19*6/G$7+0.000049,4)</f>
        <v>11.8269</v>
      </c>
      <c r="H18" s="187">
        <f>ROUND('Loonschijven_Tranches salariale'!$B19*6/H$7+0.000049,4)</f>
        <v>11.9825</v>
      </c>
      <c r="I18" s="187">
        <f>ROUND('Loonschijven_Tranches salariale'!$B19*6/I$7+0.000049,4)</f>
        <v>12.142300000000001</v>
      </c>
      <c r="J18" s="187">
        <f>ROUND('Loonschijven_Tranches salariale'!$B19*6/J$7+0.000049,4)</f>
        <v>12.3063</v>
      </c>
      <c r="K18" s="187">
        <f>ROUND('Loonschijven_Tranches salariale'!$B19*6/K$7+0.000049,4)</f>
        <v>12.4749</v>
      </c>
      <c r="L18" s="187">
        <f>ROUND('Loonschijven_Tranches salariale'!$B19*6/L$7+0.000049,4)</f>
        <v>12.648199999999999</v>
      </c>
      <c r="M18" s="187">
        <f>ROUND('Loonschijven_Tranches salariale'!$B19*6/M$7+0.000049,4)</f>
        <v>12.8263</v>
      </c>
      <c r="N18" s="191">
        <f>ROUND('Loonschijven_Tranches salariale'!$B19*6/N$7+0.000049,4)</f>
        <v>13.009600000000001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>
      <c r="A19" s="146"/>
      <c r="B19" s="146"/>
      <c r="C19" s="266">
        <f t="shared" si="0"/>
        <v>40</v>
      </c>
      <c r="D19" s="189">
        <f>ROUND('Loonschijven_Tranches salariale'!$B20*6/D$7+0.000049,4)</f>
        <v>11.6088</v>
      </c>
      <c r="E19" s="189">
        <f>ROUND('Loonschijven_Tranches salariale'!$B20*6/E$7+0.000049,4)</f>
        <v>11.755699999999999</v>
      </c>
      <c r="F19" s="189">
        <f>ROUND('Loonschijven_Tranches salariale'!$B20*6/F$7+0.000049,4)</f>
        <v>11.9064</v>
      </c>
      <c r="G19" s="189">
        <f>ROUND('Loonschijven_Tranches salariale'!$B20*6/G$7+0.000049,4)</f>
        <v>12.0611</v>
      </c>
      <c r="H19" s="189">
        <f>ROUND('Loonschijven_Tranches salariale'!$B20*6/H$7+0.000049,4)</f>
        <v>12.219799999999999</v>
      </c>
      <c r="I19" s="189">
        <f>ROUND('Loonschijven_Tranches salariale'!$B20*6/I$7+0.000049,4)</f>
        <v>12.3827</v>
      </c>
      <c r="J19" s="189">
        <f>ROUND('Loonschijven_Tranches salariale'!$B20*6/J$7+0.000049,4)</f>
        <v>12.55</v>
      </c>
      <c r="K19" s="189">
        <f>ROUND('Loonschijven_Tranches salariale'!$B20*6/K$7+0.000049,4)</f>
        <v>12.7219</v>
      </c>
      <c r="L19" s="189">
        <f>ROUND('Loonschijven_Tranches salariale'!$B20*6/L$7+0.000049,4)</f>
        <v>12.8986</v>
      </c>
      <c r="M19" s="189">
        <f>ROUND('Loonschijven_Tranches salariale'!$B20*6/M$7+0.000049,4)</f>
        <v>13.080299999999999</v>
      </c>
      <c r="N19" s="190">
        <f>ROUND('Loonschijven_Tranches salariale'!$B20*6/N$7+0.000049,4)</f>
        <v>13.267200000000001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>
      <c r="A20" s="146"/>
      <c r="B20" s="146"/>
      <c r="C20" s="265">
        <f t="shared" si="0"/>
        <v>41</v>
      </c>
      <c r="D20" s="187">
        <f>ROUND('Loonschijven_Tranches salariale'!$B21*6/D$7+0.000049,4)</f>
        <v>11.834199999999999</v>
      </c>
      <c r="E20" s="187">
        <f>ROUND('Loonschijven_Tranches salariale'!$B21*6/E$7+0.000049,4)</f>
        <v>11.984</v>
      </c>
      <c r="F20" s="187">
        <f>ROUND('Loonschijven_Tranches salariale'!$B21*6/F$7+0.000049,4)</f>
        <v>12.137600000000001</v>
      </c>
      <c r="G20" s="187">
        <f>ROUND('Loonschijven_Tranches salariale'!$B21*6/G$7+0.000049,4)</f>
        <v>12.295199999999999</v>
      </c>
      <c r="H20" s="187">
        <f>ROUND('Loonschijven_Tranches salariale'!$B21*6/H$7+0.000049,4)</f>
        <v>12.457000000000001</v>
      </c>
      <c r="I20" s="187">
        <f>ROUND('Loonschijven_Tranches salariale'!$B21*6/I$7+0.000049,4)</f>
        <v>12.623100000000001</v>
      </c>
      <c r="J20" s="187">
        <f>ROUND('Loonschijven_Tranches salariale'!$B21*6/J$7+0.000049,4)</f>
        <v>12.793699999999999</v>
      </c>
      <c r="K20" s="187">
        <f>ROUND('Loonschijven_Tranches salariale'!$B21*6/K$7+0.000049,4)</f>
        <v>12.9689</v>
      </c>
      <c r="L20" s="187">
        <f>ROUND('Loonschijven_Tranches salariale'!$B21*6/L$7+0.000049,4)</f>
        <v>13.149100000000001</v>
      </c>
      <c r="M20" s="187">
        <f>ROUND('Loonschijven_Tranches salariale'!$B21*6/M$7+0.000049,4)</f>
        <v>13.334300000000001</v>
      </c>
      <c r="N20" s="191">
        <f>ROUND('Loonschijven_Tranches salariale'!$B21*6/N$7+0.000049,4)</f>
        <v>13.524800000000001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>
      <c r="A21" s="146"/>
      <c r="B21" s="146"/>
      <c r="C21" s="265">
        <f t="shared" si="0"/>
        <v>42</v>
      </c>
      <c r="D21" s="187">
        <f>ROUND('Loonschijven_Tranches salariale'!$B22*6/D$7+0.000049,4)</f>
        <v>12.0596</v>
      </c>
      <c r="E21" s="187">
        <f>ROUND('Loonschijven_Tranches salariale'!$B22*6/E$7+0.000049,4)</f>
        <v>12.212199999999999</v>
      </c>
      <c r="F21" s="187">
        <f>ROUND('Loonschijven_Tranches salariale'!$B22*6/F$7+0.000049,4)</f>
        <v>12.3688</v>
      </c>
      <c r="G21" s="187">
        <f>ROUND('Loonschijven_Tranches salariale'!$B22*6/G$7+0.000049,4)</f>
        <v>12.529400000000001</v>
      </c>
      <c r="H21" s="187">
        <f>ROUND('Loonschijven_Tranches salariale'!$B22*6/H$7+0.000049,4)</f>
        <v>12.6943</v>
      </c>
      <c r="I21" s="187">
        <f>ROUND('Loonschijven_Tranches salariale'!$B22*6/I$7+0.000049,4)</f>
        <v>12.8635</v>
      </c>
      <c r="J21" s="187">
        <f>ROUND('Loonschijven_Tranches salariale'!$B22*6/J$7+0.000049,4)</f>
        <v>13.0374</v>
      </c>
      <c r="K21" s="187">
        <f>ROUND('Loonschijven_Tranches salariale'!$B22*6/K$7+0.000049,4)</f>
        <v>13.215999999999999</v>
      </c>
      <c r="L21" s="187">
        <f>ROUND('Loonschijven_Tranches salariale'!$B22*6/L$7+0.000049,4)</f>
        <v>13.3995</v>
      </c>
      <c r="M21" s="187">
        <f>ROUND('Loonschijven_Tranches salariale'!$B22*6/M$7+0.000049,4)</f>
        <v>13.588200000000001</v>
      </c>
      <c r="N21" s="191">
        <f>ROUND('Loonschijven_Tranches salariale'!$B22*6/N$7+0.000049,4)</f>
        <v>13.782400000000001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>
      <c r="A22" s="146"/>
      <c r="B22" s="146"/>
      <c r="C22" s="265">
        <f t="shared" si="0"/>
        <v>43</v>
      </c>
      <c r="D22" s="187">
        <f>ROUND('Loonschijven_Tranches salariale'!$B23*6/D$7+0.000049,4)</f>
        <v>12.285</v>
      </c>
      <c r="E22" s="187">
        <f>ROUND('Loonschijven_Tranches salariale'!$B23*6/E$7+0.000049,4)</f>
        <v>12.4405</v>
      </c>
      <c r="F22" s="187">
        <f>ROUND('Loonschijven_Tranches salariale'!$B23*6/F$7+0.000049,4)</f>
        <v>12.6</v>
      </c>
      <c r="G22" s="187">
        <f>ROUND('Loonschijven_Tranches salariale'!$B23*6/G$7+0.000049,4)</f>
        <v>12.7636</v>
      </c>
      <c r="H22" s="187">
        <f>ROUND('Loonschijven_Tranches salariale'!$B23*6/H$7+0.000049,4)</f>
        <v>12.9315</v>
      </c>
      <c r="I22" s="187">
        <f>ROUND('Loonschijven_Tranches salariale'!$B23*6/I$7+0.000049,4)</f>
        <v>13.103999999999999</v>
      </c>
      <c r="J22" s="187">
        <f>ROUND('Loonschijven_Tranches salariale'!$B23*6/J$7+0.000049,4)</f>
        <v>13.281000000000001</v>
      </c>
      <c r="K22" s="187">
        <f>ROUND('Loonschijven_Tranches salariale'!$B23*6/K$7+0.000049,4)</f>
        <v>13.462999999999999</v>
      </c>
      <c r="L22" s="187">
        <f>ROUND('Loonschijven_Tranches salariale'!$B23*6/L$7+0.000049,4)</f>
        <v>13.649900000000001</v>
      </c>
      <c r="M22" s="187">
        <f>ROUND('Loonschijven_Tranches salariale'!$B23*6/M$7+0.000049,4)</f>
        <v>13.8422</v>
      </c>
      <c r="N22" s="191">
        <f>ROUND('Loonschijven_Tranches salariale'!$B23*6/N$7+0.000049,4)</f>
        <v>14.039899999999999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>
      <c r="A23" s="146"/>
      <c r="B23" s="146"/>
      <c r="C23" s="265">
        <f t="shared" si="0"/>
        <v>44</v>
      </c>
      <c r="D23" s="187">
        <f>ROUND('Loonschijven_Tranches salariale'!$B24*6/D$7+0.000049,4)</f>
        <v>12.510400000000001</v>
      </c>
      <c r="E23" s="187">
        <f>ROUND('Loonschijven_Tranches salariale'!$B24*6/E$7+0.000049,4)</f>
        <v>12.668699999999999</v>
      </c>
      <c r="F23" s="187">
        <f>ROUND('Loonschijven_Tranches salariale'!$B24*6/F$7+0.000049,4)</f>
        <v>12.831099999999999</v>
      </c>
      <c r="G23" s="187">
        <f>ROUND('Loonschijven_Tranches salariale'!$B24*6/G$7+0.000049,4)</f>
        <v>12.9978</v>
      </c>
      <c r="H23" s="187">
        <f>ROUND('Loonschijven_Tranches salariale'!$B24*6/H$7+0.000049,4)</f>
        <v>13.168799999999999</v>
      </c>
      <c r="I23" s="187">
        <f>ROUND('Loonschijven_Tranches salariale'!$B24*6/I$7+0.000049,4)</f>
        <v>13.3444</v>
      </c>
      <c r="J23" s="187">
        <f>ROUND('Loonschijven_Tranches salariale'!$B24*6/J$7+0.000049,4)</f>
        <v>13.524699999999999</v>
      </c>
      <c r="K23" s="187">
        <f>ROUND('Loonschijven_Tranches salariale'!$B24*6/K$7+0.000049,4)</f>
        <v>13.71</v>
      </c>
      <c r="L23" s="187">
        <f>ROUND('Loonschijven_Tranches salariale'!$B24*6/L$7+0.000049,4)</f>
        <v>13.900399999999999</v>
      </c>
      <c r="M23" s="187">
        <f>ROUND('Loonschijven_Tranches salariale'!$B24*6/M$7+0.000049,4)</f>
        <v>14.0962</v>
      </c>
      <c r="N23" s="191">
        <f>ROUND('Loonschijven_Tranches salariale'!$B24*6/N$7+0.000049,4)</f>
        <v>14.297599999999999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>
      <c r="A24" s="146"/>
      <c r="B24" s="146"/>
      <c r="C24" s="266">
        <f t="shared" si="0"/>
        <v>45</v>
      </c>
      <c r="D24" s="189">
        <f>ROUND('Loonschijven_Tranches salariale'!$B25*6/D$7+0.000049,4)</f>
        <v>12.735799999999999</v>
      </c>
      <c r="E24" s="189">
        <f>ROUND('Loonschijven_Tranches salariale'!$B25*6/E$7+0.000049,4)</f>
        <v>12.897</v>
      </c>
      <c r="F24" s="189">
        <f>ROUND('Loonschijven_Tranches salariale'!$B25*6/F$7+0.000049,4)</f>
        <v>13.0623</v>
      </c>
      <c r="G24" s="189">
        <f>ROUND('Loonschijven_Tranches salariale'!$B25*6/G$7+0.000049,4)</f>
        <v>13.231999999999999</v>
      </c>
      <c r="H24" s="189">
        <f>ROUND('Loonschijven_Tranches salariale'!$B25*6/H$7+0.000049,4)</f>
        <v>13.4061</v>
      </c>
      <c r="I24" s="189">
        <f>ROUND('Loonschijven_Tranches salariale'!$B25*6/I$7+0.000049,4)</f>
        <v>13.5848</v>
      </c>
      <c r="J24" s="189">
        <f>ROUND('Loonschijven_Tranches salariale'!$B25*6/J$7+0.000049,4)</f>
        <v>13.7684</v>
      </c>
      <c r="K24" s="189">
        <f>ROUND('Loonschijven_Tranches salariale'!$B25*6/K$7+0.000049,4)</f>
        <v>13.957000000000001</v>
      </c>
      <c r="L24" s="189">
        <f>ROUND('Loonschijven_Tranches salariale'!$B25*6/L$7+0.000049,4)</f>
        <v>14.1508</v>
      </c>
      <c r="M24" s="189">
        <f>ROUND('Loonschijven_Tranches salariale'!$B25*6/M$7+0.000049,4)</f>
        <v>14.350099999999999</v>
      </c>
      <c r="N24" s="190">
        <f>ROUND('Loonschijven_Tranches salariale'!$B25*6/N$7+0.000049,4)</f>
        <v>14.555099999999999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>
      <c r="A25" s="146"/>
      <c r="B25" s="146"/>
      <c r="C25" s="265">
        <f t="shared" si="0"/>
        <v>46</v>
      </c>
      <c r="D25" s="187">
        <f>ROUND('Loonschijven_Tranches salariale'!$B26*6/D$7+0.000049,4)</f>
        <v>12.9612</v>
      </c>
      <c r="E25" s="187">
        <f>ROUND('Loonschijven_Tranches salariale'!$B26*6/E$7+0.000049,4)</f>
        <v>13.1252</v>
      </c>
      <c r="F25" s="187">
        <f>ROUND('Loonschijven_Tranches salariale'!$B26*6/F$7+0.000049,4)</f>
        <v>13.2935</v>
      </c>
      <c r="G25" s="187">
        <f>ROUND('Loonschijven_Tranches salariale'!$B26*6/G$7+0.000049,4)</f>
        <v>13.466100000000001</v>
      </c>
      <c r="H25" s="187">
        <f>ROUND('Loonschijven_Tranches salariale'!$B26*6/H$7+0.000049,4)</f>
        <v>13.6433</v>
      </c>
      <c r="I25" s="187">
        <f>ROUND('Loonschijven_Tranches salariale'!$B26*6/I$7+0.000049,4)</f>
        <v>13.825200000000001</v>
      </c>
      <c r="J25" s="187">
        <f>ROUND('Loonschijven_Tranches salariale'!$B26*6/J$7+0.000049,4)</f>
        <v>14.0121</v>
      </c>
      <c r="K25" s="187">
        <f>ROUND('Loonschijven_Tranches salariale'!$B26*6/K$7+0.000049,4)</f>
        <v>14.204000000000001</v>
      </c>
      <c r="L25" s="187">
        <f>ROUND('Loonschijven_Tranches salariale'!$B26*6/L$7+0.000049,4)</f>
        <v>14.401300000000001</v>
      </c>
      <c r="M25" s="187">
        <f>ROUND('Loonschijven_Tranches salariale'!$B26*6/M$7+0.000049,4)</f>
        <v>14.604100000000001</v>
      </c>
      <c r="N25" s="191">
        <f>ROUND('Loonschijven_Tranches salariale'!$B26*6/N$7+0.000049,4)</f>
        <v>14.8127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>
      <c r="A26" s="146"/>
      <c r="B26" s="146"/>
      <c r="C26" s="265">
        <f t="shared" si="0"/>
        <v>47</v>
      </c>
      <c r="D26" s="187">
        <f>ROUND('Loonschijven_Tranches salariale'!$B27*6/D$7+0.000049,4)</f>
        <v>13.1866</v>
      </c>
      <c r="E26" s="187">
        <f>ROUND('Loonschijven_Tranches salariale'!$B27*6/E$7+0.000049,4)</f>
        <v>13.3535</v>
      </c>
      <c r="F26" s="187">
        <f>ROUND('Loonschijven_Tranches salariale'!$B27*6/F$7+0.000049,4)</f>
        <v>13.524699999999999</v>
      </c>
      <c r="G26" s="187">
        <f>ROUND('Loonschijven_Tranches salariale'!$B27*6/G$7+0.000049,4)</f>
        <v>13.7003</v>
      </c>
      <c r="H26" s="187">
        <f>ROUND('Loonschijven_Tranches salariale'!$B27*6/H$7+0.000049,4)</f>
        <v>13.880599999999999</v>
      </c>
      <c r="I26" s="187">
        <f>ROUND('Loonschijven_Tranches salariale'!$B27*6/I$7+0.000049,4)</f>
        <v>14.0657</v>
      </c>
      <c r="J26" s="187">
        <f>ROUND('Loonschijven_Tranches salariale'!$B27*6/J$7+0.000049,4)</f>
        <v>14.255699999999999</v>
      </c>
      <c r="K26" s="187">
        <f>ROUND('Loonschijven_Tranches salariale'!$B27*6/K$7+0.000049,4)</f>
        <v>14.451000000000001</v>
      </c>
      <c r="L26" s="187">
        <f>ROUND('Loonschijven_Tranches salariale'!$B27*6/L$7+0.000049,4)</f>
        <v>14.6517</v>
      </c>
      <c r="M26" s="187">
        <f>ROUND('Loonschijven_Tranches salariale'!$B27*6/M$7+0.000049,4)</f>
        <v>14.8581</v>
      </c>
      <c r="N26" s="191">
        <f>ROUND('Loonschijven_Tranches salariale'!$B27*6/N$7+0.000049,4)</f>
        <v>15.070399999999999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>
      <c r="A27" s="146"/>
      <c r="B27" s="146"/>
      <c r="C27" s="265">
        <f t="shared" si="0"/>
        <v>48</v>
      </c>
      <c r="D27" s="187">
        <f>ROUND('Loonschijven_Tranches salariale'!$B28*6/D$7+0.000049,4)</f>
        <v>13.412000000000001</v>
      </c>
      <c r="E27" s="187">
        <f>ROUND('Loonschijven_Tranches salariale'!$B28*6/E$7+0.000049,4)</f>
        <v>13.5817</v>
      </c>
      <c r="F27" s="187">
        <f>ROUND('Loonschijven_Tranches salariale'!$B28*6/F$7+0.000049,4)</f>
        <v>13.755800000000001</v>
      </c>
      <c r="G27" s="187">
        <f>ROUND('Loonschijven_Tranches salariale'!$B28*6/G$7+0.000049,4)</f>
        <v>13.9345</v>
      </c>
      <c r="H27" s="187">
        <f>ROUND('Loonschijven_Tranches salariale'!$B28*6/H$7+0.000049,4)</f>
        <v>14.117800000000001</v>
      </c>
      <c r="I27" s="187">
        <f>ROUND('Loonschijven_Tranches salariale'!$B28*6/I$7+0.000049,4)</f>
        <v>14.306100000000001</v>
      </c>
      <c r="J27" s="187">
        <f>ROUND('Loonschijven_Tranches salariale'!$B28*6/J$7+0.000049,4)</f>
        <v>14.4994</v>
      </c>
      <c r="K27" s="187">
        <f>ROUND('Loonschijven_Tranches salariale'!$B28*6/K$7+0.000049,4)</f>
        <v>14.698</v>
      </c>
      <c r="L27" s="187">
        <f>ROUND('Loonschijven_Tranches salariale'!$B28*6/L$7+0.000049,4)</f>
        <v>14.902200000000001</v>
      </c>
      <c r="M27" s="187">
        <f>ROUND('Loonschijven_Tranches salariale'!$B28*6/M$7+0.000049,4)</f>
        <v>15.1121</v>
      </c>
      <c r="N27" s="191">
        <f>ROUND('Loonschijven_Tranches salariale'!$B28*6/N$7+0.000049,4)</f>
        <v>15.3279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>
      <c r="A28" s="146"/>
      <c r="B28" s="146"/>
      <c r="C28" s="265">
        <f t="shared" si="0"/>
        <v>49</v>
      </c>
      <c r="D28" s="187">
        <f>ROUND('Loonschijven_Tranches salariale'!$B29*6/D$7+0.000049,4)</f>
        <v>13.6374</v>
      </c>
      <c r="E28" s="187">
        <f>ROUND('Loonschijven_Tranches salariale'!$B29*6/E$7+0.000049,4)</f>
        <v>13.81</v>
      </c>
      <c r="F28" s="187">
        <f>ROUND('Loonschijven_Tranches salariale'!$B29*6/F$7+0.000049,4)</f>
        <v>13.987</v>
      </c>
      <c r="G28" s="187">
        <f>ROUND('Loonschijven_Tranches salariale'!$B29*6/G$7+0.000049,4)</f>
        <v>14.168699999999999</v>
      </c>
      <c r="H28" s="187">
        <f>ROUND('Loonschijven_Tranches salariale'!$B29*6/H$7+0.000049,4)</f>
        <v>14.3551</v>
      </c>
      <c r="I28" s="187">
        <f>ROUND('Loonschijven_Tranches salariale'!$B29*6/I$7+0.000049,4)</f>
        <v>14.5465</v>
      </c>
      <c r="J28" s="187">
        <f>ROUND('Loonschijven_Tranches salariale'!$B29*6/J$7+0.000049,4)</f>
        <v>14.7431</v>
      </c>
      <c r="K28" s="187">
        <f>ROUND('Loonschijven_Tranches salariale'!$B29*6/K$7+0.000049,4)</f>
        <v>14.945</v>
      </c>
      <c r="L28" s="187">
        <f>ROUND('Loonschijven_Tranches salariale'!$B29*6/L$7+0.000049,4)</f>
        <v>15.1526</v>
      </c>
      <c r="M28" s="187">
        <f>ROUND('Loonschijven_Tranches salariale'!$B29*6/M$7+0.000049,4)</f>
        <v>15.366</v>
      </c>
      <c r="N28" s="191">
        <f>ROUND('Loonschijven_Tranches salariale'!$B29*6/N$7+0.000049,4)</f>
        <v>15.5855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>
      <c r="A29" s="146"/>
      <c r="B29" s="146"/>
      <c r="C29" s="266">
        <f t="shared" si="0"/>
        <v>50</v>
      </c>
      <c r="D29" s="189">
        <f>ROUND('Loonschijven_Tranches salariale'!$B30*6/D$7+0.000049,4)</f>
        <v>13.8627</v>
      </c>
      <c r="E29" s="189">
        <f>ROUND('Loonschijven_Tranches salariale'!$B30*6/E$7+0.000049,4)</f>
        <v>14.0382</v>
      </c>
      <c r="F29" s="189">
        <f>ROUND('Loonschijven_Tranches salariale'!$B30*6/F$7+0.000049,4)</f>
        <v>14.2182</v>
      </c>
      <c r="G29" s="189">
        <f>ROUND('Loonschijven_Tranches salariale'!$B30*6/G$7+0.000049,4)</f>
        <v>14.402900000000001</v>
      </c>
      <c r="H29" s="189">
        <f>ROUND('Loonschijven_Tranches salariale'!$B30*6/H$7+0.000049,4)</f>
        <v>14.5924</v>
      </c>
      <c r="I29" s="189">
        <f>ROUND('Loonschijven_Tranches salariale'!$B30*6/I$7+0.000049,4)</f>
        <v>14.786899999999999</v>
      </c>
      <c r="J29" s="189">
        <f>ROUND('Loonschijven_Tranches salariale'!$B30*6/J$7+0.000049,4)</f>
        <v>14.986800000000001</v>
      </c>
      <c r="K29" s="189">
        <f>ROUND('Loonschijven_Tranches salariale'!$B30*6/K$7+0.000049,4)</f>
        <v>15.192</v>
      </c>
      <c r="L29" s="189">
        <f>ROUND('Loonschijven_Tranches salariale'!$B30*6/L$7+0.000049,4)</f>
        <v>15.403</v>
      </c>
      <c r="M29" s="189">
        <f>ROUND('Loonschijven_Tranches salariale'!$B30*6/M$7+0.000049,4)</f>
        <v>15.62</v>
      </c>
      <c r="N29" s="190">
        <f>ROUND('Loonschijven_Tranches salariale'!$B30*6/N$7+0.000049,4)</f>
        <v>15.8431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>
      <c r="A30" s="146"/>
      <c r="B30" s="146"/>
      <c r="C30" s="265">
        <f t="shared" si="0"/>
        <v>51</v>
      </c>
      <c r="D30" s="187">
        <f>ROUND('Loonschijven_Tranches salariale'!$B31*6/D$7+0.000049,4)</f>
        <v>14.088200000000001</v>
      </c>
      <c r="E30" s="187">
        <f>ROUND('Loonschijven_Tranches salariale'!$B31*6/E$7+0.000049,4)</f>
        <v>14.266500000000001</v>
      </c>
      <c r="F30" s="187">
        <f>ROUND('Loonschijven_Tranches salariale'!$B31*6/F$7+0.000049,4)</f>
        <v>14.449400000000001</v>
      </c>
      <c r="G30" s="187">
        <f>ROUND('Loonschijven_Tranches salariale'!$B31*6/G$7+0.000049,4)</f>
        <v>14.637</v>
      </c>
      <c r="H30" s="187">
        <f>ROUND('Loonschijven_Tranches salariale'!$B31*6/H$7+0.000049,4)</f>
        <v>14.829599999999999</v>
      </c>
      <c r="I30" s="187">
        <f>ROUND('Loonschijven_Tranches salariale'!$B31*6/I$7+0.000049,4)</f>
        <v>15.0274</v>
      </c>
      <c r="J30" s="187">
        <f>ROUND('Loonschijven_Tranches salariale'!$B31*6/J$7+0.000049,4)</f>
        <v>15.230399999999999</v>
      </c>
      <c r="K30" s="187">
        <f>ROUND('Loonschijven_Tranches salariale'!$B31*6/K$7+0.000049,4)</f>
        <v>15.4391</v>
      </c>
      <c r="L30" s="187">
        <f>ROUND('Loonschijven_Tranches salariale'!$B31*6/L$7+0.000049,4)</f>
        <v>15.653499999999999</v>
      </c>
      <c r="M30" s="187">
        <f>ROUND('Loonschijven_Tranches salariale'!$B31*6/M$7+0.000049,4)</f>
        <v>15.874000000000001</v>
      </c>
      <c r="N30" s="191">
        <f>ROUND('Loonschijven_Tranches salariale'!$B31*6/N$7+0.000049,4)</f>
        <v>16.1007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>
      <c r="A31" s="146"/>
      <c r="B31" s="146"/>
      <c r="C31" s="265">
        <f t="shared" si="0"/>
        <v>52</v>
      </c>
      <c r="D31" s="187">
        <f>ROUND('Loonschijven_Tranches salariale'!$B32*6/D$7+0.000049,4)</f>
        <v>14.313499999999999</v>
      </c>
      <c r="E31" s="187">
        <f>ROUND('Loonschijven_Tranches salariale'!$B32*6/E$7+0.000049,4)</f>
        <v>14.4947</v>
      </c>
      <c r="F31" s="187">
        <f>ROUND('Loonschijven_Tranches salariale'!$B32*6/F$7+0.000049,4)</f>
        <v>14.6806</v>
      </c>
      <c r="G31" s="187">
        <f>ROUND('Loonschijven_Tranches salariale'!$B32*6/G$7+0.000049,4)</f>
        <v>14.8712</v>
      </c>
      <c r="H31" s="187">
        <f>ROUND('Loonschijven_Tranches salariale'!$B32*6/H$7+0.000049,4)</f>
        <v>15.0669</v>
      </c>
      <c r="I31" s="187">
        <f>ROUND('Loonschijven_Tranches salariale'!$B32*6/I$7+0.000049,4)</f>
        <v>15.267799999999999</v>
      </c>
      <c r="J31" s="187">
        <f>ROUND('Loonschijven_Tranches salariale'!$B32*6/J$7+0.000049,4)</f>
        <v>15.4741</v>
      </c>
      <c r="K31" s="187">
        <f>ROUND('Loonschijven_Tranches salariale'!$B32*6/K$7+0.000049,4)</f>
        <v>15.6861</v>
      </c>
      <c r="L31" s="187">
        <f>ROUND('Loonschijven_Tranches salariale'!$B32*6/L$7+0.000049,4)</f>
        <v>15.9039</v>
      </c>
      <c r="M31" s="187">
        <f>ROUND('Loonschijven_Tranches salariale'!$B32*6/M$7+0.000049,4)</f>
        <v>16.1279</v>
      </c>
      <c r="N31" s="191">
        <f>ROUND('Loonschijven_Tranches salariale'!$B32*6/N$7+0.000049,4)</f>
        <v>16.3583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>
      <c r="A32" s="146"/>
      <c r="B32" s="146"/>
      <c r="C32" s="265">
        <f t="shared" si="0"/>
        <v>53</v>
      </c>
      <c r="D32" s="187">
        <f>ROUND('Loonschijven_Tranches salariale'!$B33*6/D$7+0.000049,4)</f>
        <v>14.5389</v>
      </c>
      <c r="E32" s="187">
        <f>ROUND('Loonschijven_Tranches salariale'!$B33*6/E$7+0.000049,4)</f>
        <v>14.723000000000001</v>
      </c>
      <c r="F32" s="187">
        <f>ROUND('Loonschijven_Tranches salariale'!$B33*6/F$7+0.000049,4)</f>
        <v>14.9117</v>
      </c>
      <c r="G32" s="187">
        <f>ROUND('Loonschijven_Tranches salariale'!$B33*6/G$7+0.000049,4)</f>
        <v>15.105399999999999</v>
      </c>
      <c r="H32" s="187">
        <f>ROUND('Loonschijven_Tranches salariale'!$B33*6/H$7+0.000049,4)</f>
        <v>15.3042</v>
      </c>
      <c r="I32" s="187">
        <f>ROUND('Loonschijven_Tranches salariale'!$B33*6/I$7+0.000049,4)</f>
        <v>15.5082</v>
      </c>
      <c r="J32" s="187">
        <f>ROUND('Loonschijven_Tranches salariale'!$B33*6/J$7+0.000049,4)</f>
        <v>15.7178</v>
      </c>
      <c r="K32" s="187">
        <f>ROUND('Loonschijven_Tranches salariale'!$B33*6/K$7+0.000049,4)</f>
        <v>15.9331</v>
      </c>
      <c r="L32" s="187">
        <f>ROUND('Loonschijven_Tranches salariale'!$B33*6/L$7+0.000049,4)</f>
        <v>16.154399999999999</v>
      </c>
      <c r="M32" s="187">
        <f>ROUND('Loonschijven_Tranches salariale'!$B33*6/M$7+0.000049,4)</f>
        <v>16.381900000000002</v>
      </c>
      <c r="N32" s="191">
        <f>ROUND('Loonschijven_Tranches salariale'!$B33*6/N$7+0.000049,4)</f>
        <v>16.6159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>
      <c r="A33" s="146"/>
      <c r="B33" s="146"/>
      <c r="C33" s="265">
        <f t="shared" si="0"/>
        <v>54</v>
      </c>
      <c r="D33" s="187">
        <f>ROUND('Loonschijven_Tranches salariale'!$B34*6/D$7+0.000049,4)</f>
        <v>14.7644</v>
      </c>
      <c r="E33" s="187">
        <f>ROUND('Loonschijven_Tranches salariale'!$B34*6/E$7+0.000049,4)</f>
        <v>14.9512</v>
      </c>
      <c r="F33" s="187">
        <f>ROUND('Loonschijven_Tranches salariale'!$B34*6/F$7+0.000049,4)</f>
        <v>15.142899999999999</v>
      </c>
      <c r="G33" s="187">
        <f>ROUND('Loonschijven_Tranches salariale'!$B34*6/G$7+0.000049,4)</f>
        <v>15.339600000000001</v>
      </c>
      <c r="H33" s="187">
        <f>ROUND('Loonschijven_Tranches salariale'!$B34*6/H$7+0.000049,4)</f>
        <v>15.541399999999999</v>
      </c>
      <c r="I33" s="187">
        <f>ROUND('Loonschijven_Tranches salariale'!$B34*6/I$7+0.000049,4)</f>
        <v>15.7486</v>
      </c>
      <c r="J33" s="187">
        <f>ROUND('Loonschijven_Tranches salariale'!$B34*6/J$7+0.000049,4)</f>
        <v>15.961499999999999</v>
      </c>
      <c r="K33" s="187">
        <f>ROUND('Loonschijven_Tranches salariale'!$B34*6/K$7+0.000049,4)</f>
        <v>16.180099999999999</v>
      </c>
      <c r="L33" s="187">
        <f>ROUND('Loonschijven_Tranches salariale'!$B34*6/L$7+0.000049,4)</f>
        <v>16.404800000000002</v>
      </c>
      <c r="M33" s="187">
        <f>ROUND('Loonschijven_Tranches salariale'!$B34*6/M$7+0.000049,4)</f>
        <v>16.635899999999999</v>
      </c>
      <c r="N33" s="191">
        <f>ROUND('Loonschijven_Tranches salariale'!$B34*6/N$7+0.000049,4)</f>
        <v>16.8735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>
      <c r="A34" s="146"/>
      <c r="B34" s="146"/>
      <c r="C34" s="266">
        <f>C33+1</f>
        <v>55</v>
      </c>
      <c r="D34" s="189">
        <f>ROUND('Loonschijven_Tranches salariale'!$B35*6/D$7+0.000049,4)</f>
        <v>14.8771</v>
      </c>
      <c r="E34" s="189">
        <f>ROUND('Loonschijven_Tranches salariale'!$B35*6/E$7+0.000049,4)</f>
        <v>15.0654</v>
      </c>
      <c r="F34" s="189">
        <f>ROUND('Loonschijven_Tranches salariale'!$B35*6/F$7+0.000049,4)</f>
        <v>15.2585</v>
      </c>
      <c r="G34" s="189">
        <f>ROUND('Loonschijven_Tranches salariale'!$B35*6/G$7+0.000049,4)</f>
        <v>15.4567</v>
      </c>
      <c r="H34" s="189">
        <f>ROUND('Loonschijven_Tranches salariale'!$B35*6/H$7+0.000049,4)</f>
        <v>15.6601</v>
      </c>
      <c r="I34" s="189">
        <f>ROUND('Loonschijven_Tranches salariale'!$B35*6/I$7+0.000049,4)</f>
        <v>15.8689</v>
      </c>
      <c r="J34" s="189">
        <f>ROUND('Loonschijven_Tranches salariale'!$B35*6/J$7+0.000049,4)</f>
        <v>16.083300000000001</v>
      </c>
      <c r="K34" s="189">
        <f>ROUND('Loonschijven_Tranches salariale'!$B35*6/K$7+0.000049,4)</f>
        <v>16.303599999999999</v>
      </c>
      <c r="L34" s="189">
        <f>ROUND('Loonschijven_Tranches salariale'!$B35*6/L$7+0.000049,4)</f>
        <v>16.530100000000001</v>
      </c>
      <c r="M34" s="189">
        <f>ROUND('Loonschijven_Tranches salariale'!$B35*6/M$7+0.000049,4)</f>
        <v>16.762899999999998</v>
      </c>
      <c r="N34" s="190">
        <f>ROUND('Loonschijven_Tranches salariale'!$B35*6/N$7+0.000049,4)</f>
        <v>17.002400000000002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>
      <c r="A35" s="146"/>
      <c r="B35" s="146"/>
      <c r="C35" s="265">
        <f>C34+1</f>
        <v>56</v>
      </c>
      <c r="D35" s="187">
        <f>ROUND('Loonschijven_Tranches salariale'!$B36*6/D$7+0.000049,4)</f>
        <v>14.989699999999999</v>
      </c>
      <c r="E35" s="187">
        <f>ROUND('Loonschijven_Tranches salariale'!$B36*6/E$7+0.000049,4)</f>
        <v>15.179500000000001</v>
      </c>
      <c r="F35" s="187">
        <f>ROUND('Loonschijven_Tranches salariale'!$B36*6/F$7+0.000049,4)</f>
        <v>15.3741</v>
      </c>
      <c r="G35" s="187">
        <f>ROUND('Loonschijven_Tranches salariale'!$B36*6/G$7+0.000049,4)</f>
        <v>15.5738</v>
      </c>
      <c r="H35" s="187">
        <f>ROUND('Loonschijven_Tranches salariale'!$B36*6/H$7+0.000049,4)</f>
        <v>15.778700000000001</v>
      </c>
      <c r="I35" s="187">
        <f>ROUND('Loonschijven_Tranches salariale'!$B36*6/I$7+0.000049,4)</f>
        <v>15.989100000000001</v>
      </c>
      <c r="J35" s="187">
        <f>ROUND('Loonschijven_Tranches salariale'!$B36*6/J$7+0.000049,4)</f>
        <v>16.205100000000002</v>
      </c>
      <c r="K35" s="187">
        <f>ROUND('Loonschijven_Tranches salariale'!$B36*6/K$7+0.000049,4)</f>
        <v>16.427099999999999</v>
      </c>
      <c r="L35" s="187">
        <f>ROUND('Loonschijven_Tranches salariale'!$B36*6/L$7+0.000049,4)</f>
        <v>16.6553</v>
      </c>
      <c r="M35" s="187">
        <f>ROUND('Loonschijven_Tranches salariale'!$B36*6/M$7+0.000049,4)</f>
        <v>16.889800000000001</v>
      </c>
      <c r="N35" s="191">
        <f>ROUND('Loonschijven_Tranches salariale'!$B36*6/N$7+0.000049,4)</f>
        <v>17.1311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>
      <c r="A36" s="146"/>
      <c r="B36" s="146"/>
      <c r="C36" s="267">
        <f>C35+1</f>
        <v>57</v>
      </c>
      <c r="D36" s="187">
        <f>ROUND('Loonschijven_Tranches salariale'!$B37*6/D$7+0.000049,4)</f>
        <v>15.2151</v>
      </c>
      <c r="E36" s="187">
        <f>ROUND('Loonschijven_Tranches salariale'!$B37*6/E$7+0.000049,4)</f>
        <v>15.4077</v>
      </c>
      <c r="F36" s="187">
        <f>ROUND('Loonschijven_Tranches salariale'!$B37*6/F$7+0.000049,4)</f>
        <v>15.6053</v>
      </c>
      <c r="G36" s="187">
        <f>ROUND('Loonschijven_Tranches salariale'!$B37*6/G$7+0.000049,4)</f>
        <v>15.8079</v>
      </c>
      <c r="H36" s="187">
        <f>ROUND('Loonschijven_Tranches salariale'!$B37*6/H$7+0.000049,4)</f>
        <v>16.015899999999998</v>
      </c>
      <c r="I36" s="187">
        <f>ROUND('Loonschijven_Tranches salariale'!$B37*6/I$7+0.000049,4)</f>
        <v>16.229500000000002</v>
      </c>
      <c r="J36" s="187">
        <f>ROUND('Loonschijven_Tranches salariale'!$B37*6/J$7+0.000049,4)</f>
        <v>16.448799999999999</v>
      </c>
      <c r="K36" s="187">
        <f>ROUND('Loonschijven_Tranches salariale'!$B37*6/K$7+0.000049,4)</f>
        <v>16.674099999999999</v>
      </c>
      <c r="L36" s="187">
        <f>ROUND('Loonschijven_Tranches salariale'!$B37*6/L$7+0.000049,4)</f>
        <v>16.9057</v>
      </c>
      <c r="M36" s="187">
        <f>ROUND('Loonschijven_Tranches salariale'!$B37*6/M$7+0.000049,4)</f>
        <v>17.143799999999999</v>
      </c>
      <c r="N36" s="191">
        <f>ROUND('Loonschijven_Tranches salariale'!$B37*6/N$7+0.000049,4)</f>
        <v>17.3887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>
      <c r="A37" s="146"/>
      <c r="B37" s="146"/>
      <c r="C37" s="265">
        <f>C36+1</f>
        <v>58</v>
      </c>
      <c r="D37" s="187">
        <f>ROUND('Loonschijven_Tranches salariale'!$B38*6/D$7+0.000049,4)</f>
        <v>15.4405</v>
      </c>
      <c r="E37" s="187">
        <f>ROUND('Loonschijven_Tranches salariale'!$B38*6/E$7+0.000049,4)</f>
        <v>15.635999999999999</v>
      </c>
      <c r="F37" s="187">
        <f>ROUND('Loonschijven_Tranches salariale'!$B38*6/F$7+0.000049,4)</f>
        <v>15.836399999999999</v>
      </c>
      <c r="G37" s="187">
        <f>ROUND('Loonschijven_Tranches salariale'!$B38*6/G$7+0.000049,4)</f>
        <v>16.042100000000001</v>
      </c>
      <c r="H37" s="187">
        <f>ROUND('Loonschijven_Tranches salariale'!$B38*6/H$7+0.000049,4)</f>
        <v>16.2532</v>
      </c>
      <c r="I37" s="187">
        <f>ROUND('Loonschijven_Tranches salariale'!$B38*6/I$7+0.000049,4)</f>
        <v>16.469899999999999</v>
      </c>
      <c r="J37" s="187">
        <f>ROUND('Loonschijven_Tranches salariale'!$B38*6/J$7+0.000049,4)</f>
        <v>16.692499999999999</v>
      </c>
      <c r="K37" s="187">
        <f>ROUND('Loonschijven_Tranches salariale'!$B38*6/K$7+0.000049,4)</f>
        <v>16.921099999999999</v>
      </c>
      <c r="L37" s="187">
        <f>ROUND('Loonschijven_Tranches salariale'!$B38*6/L$7+0.000049,4)</f>
        <v>17.156099999999999</v>
      </c>
      <c r="M37" s="187">
        <f>ROUND('Loonschijven_Tranches salariale'!$B38*6/M$7+0.000049,4)</f>
        <v>17.3978</v>
      </c>
      <c r="N37" s="191">
        <f>ROUND('Loonschijven_Tranches salariale'!$B38*6/N$7+0.000049,4)</f>
        <v>17.6463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>
      <c r="C38" s="265">
        <f>C37+1</f>
        <v>59</v>
      </c>
      <c r="D38" s="187">
        <f>ROUND('Loonschijven_Tranches salariale'!$B39*6/D$7+0.000049,4)</f>
        <v>15.665900000000001</v>
      </c>
      <c r="E38" s="187">
        <f>ROUND('Loonschijven_Tranches salariale'!$B39*6/E$7+0.000049,4)</f>
        <v>15.8642</v>
      </c>
      <c r="F38" s="187">
        <f>ROUND('Loonschijven_Tranches salariale'!$B39*6/F$7+0.000049,4)</f>
        <v>16.067599999999999</v>
      </c>
      <c r="G38" s="187">
        <f>ROUND('Loonschijven_Tranches salariale'!$B39*6/G$7+0.000049,4)</f>
        <v>16.276299999999999</v>
      </c>
      <c r="H38" s="187">
        <f>ROUND('Loonschijven_Tranches salariale'!$B39*6/H$7+0.000049,4)</f>
        <v>16.490500000000001</v>
      </c>
      <c r="I38" s="187">
        <f>ROUND('Loonschijven_Tranches salariale'!$B39*6/I$7+0.000049,4)</f>
        <v>16.7103</v>
      </c>
      <c r="J38" s="187">
        <f>ROUND('Loonschijven_Tranches salariale'!$B39*6/J$7+0.000049,4)</f>
        <v>16.936199999999999</v>
      </c>
      <c r="K38" s="187">
        <f>ROUND('Loonschijven_Tranches salariale'!$B39*6/K$7+0.000049,4)</f>
        <v>17.168199999999999</v>
      </c>
      <c r="L38" s="187">
        <f>ROUND('Loonschijven_Tranches salariale'!$B39*6/L$7+0.000049,4)</f>
        <v>17.406600000000001</v>
      </c>
      <c r="M38" s="187">
        <f>ROUND('Loonschijven_Tranches salariale'!$B39*6/M$7+0.000049,4)</f>
        <v>17.651800000000001</v>
      </c>
      <c r="N38" s="191">
        <f>ROUND('Loonschijven_Tranches salariale'!$B39*6/N$7+0.000049,4)</f>
        <v>17.9039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>
      <c r="C39" s="266">
        <v>60</v>
      </c>
      <c r="D39" s="189">
        <f>ROUND('Loonschijven_Tranches salariale'!$B40*6/D$7+0.000049,4)</f>
        <v>15.891299999999999</v>
      </c>
      <c r="E39" s="189">
        <f>ROUND('Loonschijven_Tranches salariale'!$B40*6/E$7+0.000049,4)</f>
        <v>16.092500000000001</v>
      </c>
      <c r="F39" s="189">
        <f>ROUND('Loonschijven_Tranches salariale'!$B40*6/F$7+0.000049,4)</f>
        <v>16.2988</v>
      </c>
      <c r="G39" s="189">
        <f>ROUND('Loonschijven_Tranches salariale'!$B40*6/G$7+0.000049,4)</f>
        <v>16.5105</v>
      </c>
      <c r="H39" s="189">
        <f>ROUND('Loonschijven_Tranches salariale'!$B40*6/H$7+0.000049,4)</f>
        <v>16.727699999999999</v>
      </c>
      <c r="I39" s="189">
        <f>ROUND('Loonschijven_Tranches salariale'!$B40*6/I$7+0.000049,4)</f>
        <v>16.950800000000001</v>
      </c>
      <c r="J39" s="189">
        <f>ROUND('Loonschijven_Tranches salariale'!$B40*6/J$7+0.000049,4)</f>
        <v>17.1798</v>
      </c>
      <c r="K39" s="189">
        <f>ROUND('Loonschijven_Tranches salariale'!$B40*6/K$7+0.000049,4)</f>
        <v>17.415199999999999</v>
      </c>
      <c r="L39" s="189">
        <f>ROUND('Loonschijven_Tranches salariale'!$B40*6/L$7+0.000049,4)</f>
        <v>17.657</v>
      </c>
      <c r="M39" s="189">
        <f>ROUND('Loonschijven_Tranches salariale'!$B40*6/M$7+0.000049,4)</f>
        <v>17.9057</v>
      </c>
      <c r="N39" s="190">
        <f>ROUND('Loonschijven_Tranches salariale'!$B40*6/N$7+0.000049,4)</f>
        <v>18.1615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>
      <c r="C40" s="265">
        <f t="shared" ref="C40:C49" si="1">C39+1</f>
        <v>61</v>
      </c>
      <c r="D40" s="187">
        <f>ROUND('Loonschijven_Tranches salariale'!$B41*6/D$7+0.000049,4)</f>
        <v>16.116700000000002</v>
      </c>
      <c r="E40" s="187">
        <f>ROUND('Loonschijven_Tranches salariale'!$B41*6/E$7+0.000049,4)</f>
        <v>16.320699999999999</v>
      </c>
      <c r="F40" s="187">
        <f>ROUND('Loonschijven_Tranches salariale'!$B41*6/F$7+0.000049,4)</f>
        <v>16.53</v>
      </c>
      <c r="G40" s="187">
        <f>ROUND('Loonschijven_Tranches salariale'!$B41*6/G$7+0.000049,4)</f>
        <v>16.744700000000002</v>
      </c>
      <c r="H40" s="187">
        <f>ROUND('Loonschijven_Tranches salariale'!$B41*6/H$7+0.000049,4)</f>
        <v>16.965</v>
      </c>
      <c r="I40" s="187">
        <f>ROUND('Loonschijven_Tranches salariale'!$B41*6/I$7+0.000049,4)</f>
        <v>17.191199999999998</v>
      </c>
      <c r="J40" s="187">
        <f>ROUND('Loonschijven_Tranches salariale'!$B41*6/J$7+0.000049,4)</f>
        <v>17.423500000000001</v>
      </c>
      <c r="K40" s="187">
        <f>ROUND('Loonschijven_Tranches salariale'!$B41*6/K$7+0.000049,4)</f>
        <v>17.662199999999999</v>
      </c>
      <c r="L40" s="187">
        <f>ROUND('Loonschijven_Tranches salariale'!$B41*6/L$7+0.000049,4)</f>
        <v>17.907499999999999</v>
      </c>
      <c r="M40" s="187">
        <f>ROUND('Loonschijven_Tranches salariale'!$B41*6/M$7+0.000049,4)</f>
        <v>18.159700000000001</v>
      </c>
      <c r="N40" s="191">
        <f>ROUND('Loonschijven_Tranches salariale'!$B41*6/N$7+0.000049,4)</f>
        <v>18.4191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>
      <c r="C41" s="265">
        <f t="shared" si="1"/>
        <v>62</v>
      </c>
      <c r="D41" s="187">
        <f>ROUND('Loonschijven_Tranches salariale'!$B42*6/D$7+0.000049,4)</f>
        <v>16.342099999999999</v>
      </c>
      <c r="E41" s="187">
        <f>ROUND('Loonschijven_Tranches salariale'!$B42*6/E$7+0.000049,4)</f>
        <v>16.548999999999999</v>
      </c>
      <c r="F41" s="187">
        <f>ROUND('Loonschijven_Tranches salariale'!$B42*6/F$7+0.000049,4)</f>
        <v>16.761199999999999</v>
      </c>
      <c r="G41" s="187">
        <f>ROUND('Loonschijven_Tranches salariale'!$B42*6/G$7+0.000049,4)</f>
        <v>16.9788</v>
      </c>
      <c r="H41" s="187">
        <f>ROUND('Loonschijven_Tranches salariale'!$B42*6/H$7+0.000049,4)</f>
        <v>17.202300000000001</v>
      </c>
      <c r="I41" s="187">
        <f>ROUND('Loonschijven_Tranches salariale'!$B42*6/I$7+0.000049,4)</f>
        <v>17.4316</v>
      </c>
      <c r="J41" s="187">
        <f>ROUND('Loonschijven_Tranches salariale'!$B42*6/J$7+0.000049,4)</f>
        <v>17.667200000000001</v>
      </c>
      <c r="K41" s="187">
        <f>ROUND('Loonschijven_Tranches salariale'!$B42*6/K$7+0.000049,4)</f>
        <v>17.909199999999998</v>
      </c>
      <c r="L41" s="187">
        <f>ROUND('Loonschijven_Tranches salariale'!$B42*6/L$7+0.000049,4)</f>
        <v>18.157900000000001</v>
      </c>
      <c r="M41" s="187">
        <f>ROUND('Loonschijven_Tranches salariale'!$B42*6/M$7+0.000049,4)</f>
        <v>18.413699999999999</v>
      </c>
      <c r="N41" s="191">
        <f>ROUND('Loonschijven_Tranches salariale'!$B42*6/N$7+0.000049,4)</f>
        <v>18.6767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>
      <c r="C42" s="265">
        <f t="shared" si="1"/>
        <v>63</v>
      </c>
      <c r="D42" s="187">
        <f>ROUND('Loonschijven_Tranches salariale'!$B43*6/D$7+0.000049,4)</f>
        <v>16.567499999999999</v>
      </c>
      <c r="E42" s="187">
        <f>ROUND('Loonschijven_Tranches salariale'!$B43*6/E$7+0.000049,4)</f>
        <v>16.777200000000001</v>
      </c>
      <c r="F42" s="187">
        <f>ROUND('Loonschijven_Tranches salariale'!$B43*6/F$7+0.000049,4)</f>
        <v>16.9923</v>
      </c>
      <c r="G42" s="187">
        <f>ROUND('Loonschijven_Tranches salariale'!$B43*6/G$7+0.000049,4)</f>
        <v>17.213000000000001</v>
      </c>
      <c r="H42" s="187">
        <f>ROUND('Loonschijven_Tranches salariale'!$B43*6/H$7+0.000049,4)</f>
        <v>17.439499999999999</v>
      </c>
      <c r="I42" s="187">
        <f>ROUND('Loonschijven_Tranches salariale'!$B43*6/I$7+0.000049,4)</f>
        <v>17.672000000000001</v>
      </c>
      <c r="J42" s="187">
        <f>ROUND('Loonschijven_Tranches salariale'!$B43*6/J$7+0.000049,4)</f>
        <v>17.910799999999998</v>
      </c>
      <c r="K42" s="187">
        <f>ROUND('Loonschijven_Tranches salariale'!$B43*6/K$7+0.000049,4)</f>
        <v>18.156199999999998</v>
      </c>
      <c r="L42" s="187">
        <f>ROUND('Loonschijven_Tranches salariale'!$B43*6/L$7+0.000049,4)</f>
        <v>18.4084</v>
      </c>
      <c r="M42" s="187">
        <f>ROUND('Loonschijven_Tranches salariale'!$B43*6/M$7+0.000049,4)</f>
        <v>18.6676</v>
      </c>
      <c r="N42" s="191">
        <f>ROUND('Loonschijven_Tranches salariale'!$B43*6/N$7+0.000049,4)</f>
        <v>18.9343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>
      <c r="C43" s="265">
        <f t="shared" si="1"/>
        <v>64</v>
      </c>
      <c r="D43" s="187">
        <f>ROUND('Loonschijven_Tranches salariale'!$B44*6/D$7+0.000049,4)</f>
        <v>16.792899999999999</v>
      </c>
      <c r="E43" s="187">
        <f>ROUND('Loonschijven_Tranches salariale'!$B44*6/E$7+0.000049,4)</f>
        <v>17.005500000000001</v>
      </c>
      <c r="F43" s="187">
        <f>ROUND('Loonschijven_Tranches salariale'!$B44*6/F$7+0.000049,4)</f>
        <v>17.223500000000001</v>
      </c>
      <c r="G43" s="187">
        <f>ROUND('Loonschijven_Tranches salariale'!$B44*6/G$7+0.000049,4)</f>
        <v>17.447199999999999</v>
      </c>
      <c r="H43" s="187">
        <f>ROUND('Loonschijven_Tranches salariale'!$B44*6/H$7+0.000049,4)</f>
        <v>17.6768</v>
      </c>
      <c r="I43" s="187">
        <f>ROUND('Loonschijven_Tranches salariale'!$B44*6/I$7+0.000049,4)</f>
        <v>17.912500000000001</v>
      </c>
      <c r="J43" s="187">
        <f>ROUND('Loonschijven_Tranches salariale'!$B44*6/J$7+0.000049,4)</f>
        <v>18.154499999999999</v>
      </c>
      <c r="K43" s="187">
        <f>ROUND('Loonschijven_Tranches salariale'!$B44*6/K$7+0.000049,4)</f>
        <v>18.403199999999998</v>
      </c>
      <c r="L43" s="187">
        <f>ROUND('Loonschijven_Tranches salariale'!$B44*6/L$7+0.000049,4)</f>
        <v>18.658799999999999</v>
      </c>
      <c r="M43" s="187">
        <f>ROUND('Loonschijven_Tranches salariale'!$B44*6/M$7+0.000049,4)</f>
        <v>18.921600000000002</v>
      </c>
      <c r="N43" s="191">
        <f>ROUND('Loonschijven_Tranches salariale'!$B44*6/N$7+0.000049,4)</f>
        <v>19.1919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>
      <c r="C44" s="266">
        <f t="shared" si="1"/>
        <v>65</v>
      </c>
      <c r="D44" s="189">
        <f>ROUND('Loonschijven_Tranches salariale'!$B45*6/D$7+0.000049,4)</f>
        <v>17.0183</v>
      </c>
      <c r="E44" s="189">
        <f>ROUND('Loonschijven_Tranches salariale'!$B45*6/E$7+0.000049,4)</f>
        <v>17.233799999999999</v>
      </c>
      <c r="F44" s="189">
        <f>ROUND('Loonschijven_Tranches salariale'!$B45*6/F$7+0.000049,4)</f>
        <v>17.454699999999999</v>
      </c>
      <c r="G44" s="189">
        <f>ROUND('Loonschijven_Tranches salariale'!$B45*6/G$7+0.000049,4)</f>
        <v>17.6814</v>
      </c>
      <c r="H44" s="189">
        <f>ROUND('Loonschijven_Tranches salariale'!$B45*6/H$7+0.000049,4)</f>
        <v>17.914000000000001</v>
      </c>
      <c r="I44" s="189">
        <f>ROUND('Loonschijven_Tranches salariale'!$B45*6/I$7+0.000049,4)</f>
        <v>18.152899999999999</v>
      </c>
      <c r="J44" s="189">
        <f>ROUND('Loonschijven_Tranches salariale'!$B45*6/J$7+0.000049,4)</f>
        <v>18.398199999999999</v>
      </c>
      <c r="K44" s="189">
        <f>ROUND('Loonschijven_Tranches salariale'!$B45*6/K$7+0.000049,4)</f>
        <v>18.650200000000002</v>
      </c>
      <c r="L44" s="189">
        <f>ROUND('Loonschijven_Tranches salariale'!$B45*6/L$7+0.000049,4)</f>
        <v>18.909199999999998</v>
      </c>
      <c r="M44" s="189">
        <f>ROUND('Loonschijven_Tranches salariale'!$B45*6/M$7+0.000049,4)</f>
        <v>19.175599999999999</v>
      </c>
      <c r="N44" s="190">
        <f>ROUND('Loonschijven_Tranches salariale'!$B45*6/N$7+0.000049,4)</f>
        <v>19.4495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>
      <c r="C45" s="265">
        <f t="shared" si="1"/>
        <v>66</v>
      </c>
      <c r="D45" s="187">
        <f>ROUND('Loonschijven_Tranches salariale'!$B46*6/D$7+0.000049,4)</f>
        <v>17.2437</v>
      </c>
      <c r="E45" s="187">
        <f>ROUND('Loonschijven_Tranches salariale'!$B46*6/E$7+0.000049,4)</f>
        <v>17.462</v>
      </c>
      <c r="F45" s="187">
        <f>ROUND('Loonschijven_Tranches salariale'!$B46*6/F$7+0.000049,4)</f>
        <v>17.6859</v>
      </c>
      <c r="G45" s="187">
        <f>ROUND('Loonschijven_Tranches salariale'!$B46*6/G$7+0.000049,4)</f>
        <v>17.915600000000001</v>
      </c>
      <c r="H45" s="187">
        <f>ROUND('Loonschijven_Tranches salariale'!$B46*6/H$7+0.000049,4)</f>
        <v>18.151299999999999</v>
      </c>
      <c r="I45" s="187">
        <f>ROUND('Loonschijven_Tranches salariale'!$B46*6/I$7+0.000049,4)</f>
        <v>18.3933</v>
      </c>
      <c r="J45" s="187">
        <f>ROUND('Loonschijven_Tranches salariale'!$B46*6/J$7+0.000049,4)</f>
        <v>18.6419</v>
      </c>
      <c r="K45" s="187">
        <f>ROUND('Loonschijven_Tranches salariale'!$B46*6/K$7+0.000049,4)</f>
        <v>18.897200000000002</v>
      </c>
      <c r="L45" s="187">
        <f>ROUND('Loonschijven_Tranches salariale'!$B46*6/L$7+0.000049,4)</f>
        <v>19.159700000000001</v>
      </c>
      <c r="M45" s="187">
        <f>ROUND('Loonschijven_Tranches salariale'!$B46*6/M$7+0.000049,4)</f>
        <v>19.429600000000001</v>
      </c>
      <c r="N45" s="191">
        <f>ROUND('Loonschijven_Tranches salariale'!$B46*6/N$7+0.000049,4)</f>
        <v>19.707100000000001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>
      <c r="C46" s="265">
        <f t="shared" si="1"/>
        <v>67</v>
      </c>
      <c r="D46" s="187">
        <f>ROUND('Loonschijven_Tranches salariale'!$B47*6/D$7+0.000049,4)</f>
        <v>17.469100000000001</v>
      </c>
      <c r="E46" s="187">
        <f>ROUND('Loonschijven_Tranches salariale'!$B47*6/E$7+0.000049,4)</f>
        <v>17.690300000000001</v>
      </c>
      <c r="F46" s="187">
        <f>ROUND('Loonschijven_Tranches salariale'!$B47*6/F$7+0.000049,4)</f>
        <v>17.917000000000002</v>
      </c>
      <c r="G46" s="187">
        <f>ROUND('Loonschijven_Tranches salariale'!$B47*6/G$7+0.000049,4)</f>
        <v>18.149699999999999</v>
      </c>
      <c r="H46" s="187">
        <f>ROUND('Loonschijven_Tranches salariale'!$B47*6/H$7+0.000049,4)</f>
        <v>18.388500000000001</v>
      </c>
      <c r="I46" s="187">
        <f>ROUND('Loonschijven_Tranches salariale'!$B47*6/I$7+0.000049,4)</f>
        <v>18.633700000000001</v>
      </c>
      <c r="J46" s="187">
        <f>ROUND('Loonschijven_Tranches salariale'!$B47*6/J$7+0.000049,4)</f>
        <v>18.8855</v>
      </c>
      <c r="K46" s="187">
        <f>ROUND('Loonschijven_Tranches salariale'!$B47*6/K$7+0.000049,4)</f>
        <v>19.144200000000001</v>
      </c>
      <c r="L46" s="187">
        <f>ROUND('Loonschijven_Tranches salariale'!$B47*6/L$7+0.000049,4)</f>
        <v>19.4101</v>
      </c>
      <c r="M46" s="187">
        <f>ROUND('Loonschijven_Tranches salariale'!$B47*6/M$7+0.000049,4)</f>
        <v>19.683499999999999</v>
      </c>
      <c r="N46" s="191">
        <f>ROUND('Loonschijven_Tranches salariale'!$B47*6/N$7+0.000049,4)</f>
        <v>19.964700000000001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>
      <c r="C47" s="265">
        <f t="shared" si="1"/>
        <v>68</v>
      </c>
      <c r="D47" s="187">
        <f>ROUND('Loonschijven_Tranches salariale'!$B48*6/D$7+0.000049,4)</f>
        <v>17.694500000000001</v>
      </c>
      <c r="E47" s="187">
        <f>ROUND('Loonschijven_Tranches salariale'!$B48*6/E$7+0.000049,4)</f>
        <v>17.918500000000002</v>
      </c>
      <c r="F47" s="187">
        <f>ROUND('Loonschijven_Tranches salariale'!$B48*6/F$7+0.000049,4)</f>
        <v>18.148199999999999</v>
      </c>
      <c r="G47" s="187">
        <f>ROUND('Loonschijven_Tranches salariale'!$B48*6/G$7+0.000049,4)</f>
        <v>18.383900000000001</v>
      </c>
      <c r="H47" s="187">
        <f>ROUND('Loonschijven_Tranches salariale'!$B48*6/H$7+0.000049,4)</f>
        <v>18.625800000000002</v>
      </c>
      <c r="I47" s="187">
        <f>ROUND('Loonschijven_Tranches salariale'!$B48*6/I$7+0.000049,4)</f>
        <v>18.874199999999998</v>
      </c>
      <c r="J47" s="187">
        <f>ROUND('Loonschijven_Tranches salariale'!$B48*6/J$7+0.000049,4)</f>
        <v>19.129200000000001</v>
      </c>
      <c r="K47" s="187">
        <f>ROUND('Loonschijven_Tranches salariale'!$B48*6/K$7+0.000049,4)</f>
        <v>19.391300000000001</v>
      </c>
      <c r="L47" s="187">
        <f>ROUND('Loonschijven_Tranches salariale'!$B48*6/L$7+0.000049,4)</f>
        <v>19.660599999999999</v>
      </c>
      <c r="M47" s="187">
        <f>ROUND('Loonschijven_Tranches salariale'!$B48*6/M$7+0.000049,4)</f>
        <v>19.9375</v>
      </c>
      <c r="N47" s="191">
        <f>ROUND('Loonschijven_Tranches salariale'!$B48*6/N$7+0.000049,4)</f>
        <v>20.222300000000001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>
      <c r="C48" s="265">
        <f t="shared" si="1"/>
        <v>69</v>
      </c>
      <c r="D48" s="187">
        <f>ROUND('Loonschijven_Tranches salariale'!$B49*6/D$7+0.000049,4)</f>
        <v>17.919899999999998</v>
      </c>
      <c r="E48" s="187">
        <f>ROUND('Loonschijven_Tranches salariale'!$B49*6/E$7+0.000049,4)</f>
        <v>18.146799999999999</v>
      </c>
      <c r="F48" s="187">
        <f>ROUND('Loonschijven_Tranches salariale'!$B49*6/F$7+0.000049,4)</f>
        <v>18.3794</v>
      </c>
      <c r="G48" s="187">
        <f>ROUND('Loonschijven_Tranches salariale'!$B49*6/G$7+0.000049,4)</f>
        <v>18.618099999999998</v>
      </c>
      <c r="H48" s="187">
        <f>ROUND('Loonschijven_Tranches salariale'!$B49*6/H$7+0.000049,4)</f>
        <v>18.863099999999999</v>
      </c>
      <c r="I48" s="187">
        <f>ROUND('Loonschijven_Tranches salariale'!$B49*6/I$7+0.000049,4)</f>
        <v>19.114599999999999</v>
      </c>
      <c r="J48" s="187">
        <f>ROUND('Loonschijven_Tranches salariale'!$B49*6/J$7+0.000049,4)</f>
        <v>19.372900000000001</v>
      </c>
      <c r="K48" s="187">
        <f>ROUND('Loonschijven_Tranches salariale'!$B49*6/K$7+0.000049,4)</f>
        <v>19.638300000000001</v>
      </c>
      <c r="L48" s="187">
        <f>ROUND('Loonschijven_Tranches salariale'!$B49*6/L$7+0.000049,4)</f>
        <v>19.911000000000001</v>
      </c>
      <c r="M48" s="187">
        <f>ROUND('Loonschijven_Tranches salariale'!$B49*6/M$7+0.000049,4)</f>
        <v>20.191500000000001</v>
      </c>
      <c r="N48" s="191">
        <f>ROUND('Loonschijven_Tranches salariale'!$B49*6/N$7+0.000049,4)</f>
        <v>20.479900000000001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3:30">
      <c r="C49" s="268">
        <f t="shared" si="1"/>
        <v>70</v>
      </c>
      <c r="D49" s="189">
        <f>ROUND('Loonschijven_Tranches salariale'!$B50*6/D$7+0.000049,4)</f>
        <v>18.145299999999999</v>
      </c>
      <c r="E49" s="189">
        <f>ROUND('Loonschijven_Tranches salariale'!$B50*6/E$7+0.000049,4)</f>
        <v>18.375</v>
      </c>
      <c r="F49" s="189">
        <f>ROUND('Loonschijven_Tranches salariale'!$B50*6/F$7+0.000049,4)</f>
        <v>18.610600000000002</v>
      </c>
      <c r="G49" s="189">
        <f>ROUND('Loonschijven_Tranches salariale'!$B50*6/G$7+0.000049,4)</f>
        <v>18.8523</v>
      </c>
      <c r="H49" s="189">
        <f>ROUND('Loonschijven_Tranches salariale'!$B50*6/H$7+0.000049,4)</f>
        <v>19.100300000000001</v>
      </c>
      <c r="I49" s="189">
        <f>ROUND('Loonschijven_Tranches salariale'!$B50*6/I$7+0.000049,4)</f>
        <v>19.355</v>
      </c>
      <c r="J49" s="189">
        <f>ROUND('Loonschijven_Tranches salariale'!$B50*6/J$7+0.000049,4)</f>
        <v>19.616599999999998</v>
      </c>
      <c r="K49" s="189">
        <f>ROUND('Loonschijven_Tranches salariale'!$B50*6/K$7+0.000049,4)</f>
        <v>19.885300000000001</v>
      </c>
      <c r="L49" s="189">
        <f>ROUND('Loonschijven_Tranches salariale'!$B50*6/L$7+0.000049,4)</f>
        <v>20.1615</v>
      </c>
      <c r="M49" s="189">
        <f>ROUND('Loonschijven_Tranches salariale'!$B50*6/M$7+0.000049,4)</f>
        <v>20.445399999999999</v>
      </c>
      <c r="N49" s="190">
        <f>ROUND('Loonschijven_Tranches salariale'!$B50*6/N$7+0.000049,4)</f>
        <v>20.737500000000001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3:30">
      <c r="C50" s="265">
        <f t="shared" ref="C50:C58" si="2">C49+1</f>
        <v>71</v>
      </c>
      <c r="D50" s="187">
        <f>ROUND('Loonschijven_Tranches salariale'!$B51*6/D$7+0.000049,4)</f>
        <v>18.180700000000002</v>
      </c>
      <c r="E50" s="187">
        <f>ROUND('Loonschijven_Tranches salariale'!$B51*6/E$7+0.000049,4)</f>
        <v>18.410799999999998</v>
      </c>
      <c r="F50" s="187">
        <f>ROUND('Loonschijven_Tranches salariale'!$B51*6/F$7+0.000049,4)</f>
        <v>18.646899999999999</v>
      </c>
      <c r="G50" s="187">
        <f>ROUND('Loonschijven_Tranches salariale'!$B51*6/G$7+0.000049,4)</f>
        <v>18.888999999999999</v>
      </c>
      <c r="H50" s="187">
        <f>ROUND('Loonschijven_Tranches salariale'!$B51*6/H$7+0.000049,4)</f>
        <v>19.137599999999999</v>
      </c>
      <c r="I50" s="187">
        <f>ROUND('Loonschijven_Tranches salariale'!$B51*6/I$7+0.000049,4)</f>
        <v>19.392800000000001</v>
      </c>
      <c r="J50" s="187">
        <f>ROUND('Loonschijven_Tranches salariale'!$B51*6/J$7+0.000049,4)</f>
        <v>19.654800000000002</v>
      </c>
      <c r="K50" s="187">
        <f>ROUND('Loonschijven_Tranches salariale'!$B51*6/K$7+0.000049,4)</f>
        <v>19.924099999999999</v>
      </c>
      <c r="L50" s="187">
        <f>ROUND('Loonschijven_Tranches salariale'!$B51*6/L$7+0.000049,4)</f>
        <v>20.200800000000001</v>
      </c>
      <c r="M50" s="187">
        <f>ROUND('Loonschijven_Tranches salariale'!$B51*6/M$7+0.000049,4)</f>
        <v>20.485299999999999</v>
      </c>
      <c r="N50" s="191">
        <f>ROUND('Loonschijven_Tranches salariale'!$B51*6/N$7+0.000049,4)</f>
        <v>20.777899999999999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3:30">
      <c r="C51" s="265">
        <f t="shared" si="2"/>
        <v>72</v>
      </c>
      <c r="D51" s="187">
        <f>ROUND('Loonschijven_Tranches salariale'!$B52*6/D$7+0.000049,4)</f>
        <v>18.407900000000001</v>
      </c>
      <c r="E51" s="187">
        <f>ROUND('Loonschijven_Tranches salariale'!$B52*6/E$7+0.000049,4)</f>
        <v>18.640999999999998</v>
      </c>
      <c r="F51" s="187">
        <f>ROUND('Loonschijven_Tranches salariale'!$B52*6/F$7+0.000049,4)</f>
        <v>18.879899999999999</v>
      </c>
      <c r="G51" s="187">
        <f>ROUND('Loonschijven_Tranches salariale'!$B52*6/G$7+0.000049,4)</f>
        <v>19.1251</v>
      </c>
      <c r="H51" s="187">
        <f>ROUND('Loonschijven_Tranches salariale'!$B52*6/H$7+0.000049,4)</f>
        <v>19.376799999999999</v>
      </c>
      <c r="I51" s="187">
        <f>ROUND('Loonschijven_Tranches salariale'!$B52*6/I$7+0.000049,4)</f>
        <v>19.635100000000001</v>
      </c>
      <c r="J51" s="187">
        <f>ROUND('Loonschijven_Tranches salariale'!$B52*6/J$7+0.000049,4)</f>
        <v>19.900500000000001</v>
      </c>
      <c r="K51" s="187">
        <f>ROUND('Loonschijven_Tranches salariale'!$B52*6/K$7+0.000049,4)</f>
        <v>20.173100000000002</v>
      </c>
      <c r="L51" s="187">
        <f>ROUND('Loonschijven_Tranches salariale'!$B52*6/L$7+0.000049,4)</f>
        <v>20.453299999999999</v>
      </c>
      <c r="M51" s="187">
        <f>ROUND('Loonschijven_Tranches salariale'!$B52*6/M$7+0.000049,4)</f>
        <v>20.741299999999999</v>
      </c>
      <c r="N51" s="191">
        <f>ROUND('Loonschijven_Tranches salariale'!$B52*6/N$7+0.000049,4)</f>
        <v>21.037600000000001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3:30">
      <c r="C52" s="265">
        <f t="shared" si="2"/>
        <v>73</v>
      </c>
      <c r="D52" s="187">
        <f>ROUND('Loonschijven_Tranches salariale'!$B53*6/D$7+0.000049,4)</f>
        <v>18.550699999999999</v>
      </c>
      <c r="E52" s="187">
        <f>ROUND('Loonschijven_Tranches salariale'!$B53*6/E$7+0.000049,4)</f>
        <v>18.785499999999999</v>
      </c>
      <c r="F52" s="187">
        <f>ROUND('Loonschijven_Tranches salariale'!$B53*6/F$7+0.000049,4)</f>
        <v>19.026399999999999</v>
      </c>
      <c r="G52" s="187">
        <f>ROUND('Loonschijven_Tranches salariale'!$B53*6/G$7+0.000049,4)</f>
        <v>19.273499999999999</v>
      </c>
      <c r="H52" s="187">
        <f>ROUND('Loonschijven_Tranches salariale'!$B53*6/H$7+0.000049,4)</f>
        <v>19.527100000000001</v>
      </c>
      <c r="I52" s="187">
        <f>ROUND('Loonschijven_Tranches salariale'!$B53*6/I$7+0.000049,4)</f>
        <v>19.787400000000002</v>
      </c>
      <c r="J52" s="187">
        <f>ROUND('Loonschijven_Tranches salariale'!$B53*6/J$7+0.000049,4)</f>
        <v>20.0548</v>
      </c>
      <c r="K52" s="187">
        <f>ROUND('Loonschijven_Tranches salariale'!$B53*6/K$7+0.000049,4)</f>
        <v>20.329499999999999</v>
      </c>
      <c r="L52" s="187">
        <f>ROUND('Loonschijven_Tranches salariale'!$B53*6/L$7+0.000049,4)</f>
        <v>20.611899999999999</v>
      </c>
      <c r="M52" s="187">
        <f>ROUND('Loonschijven_Tranches salariale'!$B53*6/M$7+0.000049,4)</f>
        <v>20.902200000000001</v>
      </c>
      <c r="N52" s="191">
        <f>ROUND('Loonschijven_Tranches salariale'!$B53*6/N$7+0.000049,4)</f>
        <v>21.200800000000001</v>
      </c>
      <c r="P52"/>
    </row>
    <row r="53" spans="3:30">
      <c r="C53" s="365">
        <f t="shared" si="2"/>
        <v>74</v>
      </c>
      <c r="D53" s="366">
        <f>ROUND('Loonschijven_Tranches salariale'!$B54*6/D$7+0.000049,4)</f>
        <v>18.7761</v>
      </c>
      <c r="E53" s="366">
        <f>ROUND('Loonschijven_Tranches salariale'!$B54*6/E$7+0.000049,4)</f>
        <v>19.0138</v>
      </c>
      <c r="F53" s="366">
        <f>ROUND('Loonschijven_Tranches salariale'!$B54*6/F$7+0.000049,4)</f>
        <v>19.2575</v>
      </c>
      <c r="G53" s="366">
        <f>ROUND('Loonschijven_Tranches salariale'!$B54*6/G$7+0.000049,4)</f>
        <v>19.5076</v>
      </c>
      <c r="H53" s="366">
        <f>ROUND('Loonschijven_Tranches salariale'!$B54*6/H$7+0.000049,4)</f>
        <v>19.764299999999999</v>
      </c>
      <c r="I53" s="366">
        <f>ROUND('Loonschijven_Tranches salariale'!$B54*6/I$7+0.000049,4)</f>
        <v>20.027799999999999</v>
      </c>
      <c r="J53" s="366">
        <f>ROUND('Loonschijven_Tranches salariale'!$B54*6/J$7+0.000049,4)</f>
        <v>20.298500000000001</v>
      </c>
      <c r="K53" s="366">
        <f>ROUND('Loonschijven_Tranches salariale'!$B54*6/K$7+0.000049,4)</f>
        <v>20.576499999999999</v>
      </c>
      <c r="L53" s="366">
        <f>ROUND('Loonschijven_Tranches salariale'!$B54*6/L$7+0.000049,4)</f>
        <v>20.862300000000001</v>
      </c>
      <c r="M53" s="366">
        <f>ROUND('Loonschijven_Tranches salariale'!$B54*6/M$7+0.000049,4)</f>
        <v>21.156199999999998</v>
      </c>
      <c r="N53" s="367">
        <f>ROUND('Loonschijven_Tranches salariale'!$B54*6/N$7+0.000049,4)</f>
        <v>21.458400000000001</v>
      </c>
      <c r="P53"/>
    </row>
    <row r="54" spans="3:30">
      <c r="C54" s="415">
        <f t="shared" si="2"/>
        <v>75</v>
      </c>
      <c r="D54" s="416">
        <f>ROUND('Loonschijven_Tranches salariale'!$B55*6/D$7+0.000049,4)</f>
        <v>19.0108</v>
      </c>
      <c r="E54" s="416">
        <f>ROUND('Loonschijven_Tranches salariale'!$B55*6/E$7+0.000049,4)</f>
        <v>19.2515</v>
      </c>
      <c r="F54" s="416">
        <f>ROUND('Loonschijven_Tranches salariale'!$B55*6/F$7+0.000049,4)</f>
        <v>19.4983</v>
      </c>
      <c r="G54" s="416">
        <f>ROUND('Loonschijven_Tranches salariale'!$B55*6/G$7+0.000049,4)</f>
        <v>19.7515</v>
      </c>
      <c r="H54" s="416">
        <f>ROUND('Loonschijven_Tranches salariale'!$B55*6/H$7+0.000049,4)</f>
        <v>20.011399999999998</v>
      </c>
      <c r="I54" s="416">
        <f>ROUND('Loonschijven_Tranches salariale'!$B55*6/I$7+0.000049,4)</f>
        <v>20.278199999999998</v>
      </c>
      <c r="J54" s="416">
        <f>ROUND('Loonschijven_Tranches salariale'!$B55*6/J$7+0.000049,4)</f>
        <v>20.552199999999999</v>
      </c>
      <c r="K54" s="416">
        <f>ROUND('Loonschijven_Tranches salariale'!$B55*6/K$7+0.000049,4)</f>
        <v>20.8338</v>
      </c>
      <c r="L54" s="416">
        <f>ROUND('Loonschijven_Tranches salariale'!$B55*6/L$7+0.000049,4)</f>
        <v>21.123100000000001</v>
      </c>
      <c r="M54" s="416">
        <f>ROUND('Loonschijven_Tranches salariale'!$B55*6/M$7+0.000049,4)</f>
        <v>21.4206</v>
      </c>
      <c r="N54" s="417">
        <f>ROUND('Loonschijven_Tranches salariale'!$B55*6/N$7+0.000049,4)</f>
        <v>21.726600000000001</v>
      </c>
    </row>
    <row r="55" spans="3:30">
      <c r="C55" s="450">
        <f t="shared" si="2"/>
        <v>76</v>
      </c>
      <c r="D55" s="451">
        <f>ROUND('Loonschijven_Tranches salariale'!$B56*6/D$7+0.000049,4)</f>
        <v>19.1629</v>
      </c>
      <c r="E55" s="451">
        <f>ROUND('Loonschijven_Tranches salariale'!$B56*6/E$7+0.000049,4)</f>
        <v>19.4055</v>
      </c>
      <c r="F55" s="451">
        <f>ROUND('Loonschijven_Tranches salariale'!$B56*6/F$7+0.000049,4)</f>
        <v>19.654199999999999</v>
      </c>
      <c r="G55" s="451">
        <f>ROUND('Loonschijven_Tranches salariale'!$B56*6/G$7+0.000049,4)</f>
        <v>19.909500000000001</v>
      </c>
      <c r="H55" s="451">
        <f>ROUND('Loonschijven_Tranches salariale'!$B56*6/H$7+0.000049,4)</f>
        <v>20.171500000000002</v>
      </c>
      <c r="I55" s="451">
        <f>ROUND('Loonschijven_Tranches salariale'!$B56*6/I$7+0.000049,4)</f>
        <v>20.4404</v>
      </c>
      <c r="J55" s="451">
        <f>ROUND('Loonschijven_Tranches salariale'!$B56*6/J$7+0.000049,4)</f>
        <v>20.7166</v>
      </c>
      <c r="K55" s="451">
        <f>ROUND('Loonschijven_Tranches salariale'!$B56*6/K$7+0.000049,4)</f>
        <v>21.000399999999999</v>
      </c>
      <c r="L55" s="451">
        <f>ROUND('Loonschijven_Tranches salariale'!$B56*6/L$7+0.000049,4)</f>
        <v>21.292100000000001</v>
      </c>
      <c r="M55" s="451">
        <f>ROUND('Loonschijven_Tranches salariale'!$B56*6/M$7+0.000049,4)</f>
        <v>21.591999999999999</v>
      </c>
      <c r="N55" s="452">
        <f>ROUND('Loonschijven_Tranches salariale'!$B56*6/N$7+0.000049,4)</f>
        <v>21.900400000000001</v>
      </c>
    </row>
    <row r="56" spans="3:30">
      <c r="C56" s="487">
        <f t="shared" si="2"/>
        <v>77</v>
      </c>
      <c r="D56" s="488">
        <f>ROUND('Loonschijven_Tranches salariale'!$B57*6/D$7+0.000049,4)</f>
        <v>19.373699999999999</v>
      </c>
      <c r="E56" s="488">
        <f>ROUND('Loonschijven_Tranches salariale'!$B57*6/E$7+0.000049,4)</f>
        <v>19.6189</v>
      </c>
      <c r="F56" s="488">
        <f>ROUND('Loonschijven_Tranches salariale'!$B57*6/F$7+0.000049,4)</f>
        <v>19.8705</v>
      </c>
      <c r="G56" s="488">
        <f>ROUND('Loonschijven_Tranches salariale'!$B57*6/G$7+0.000049,4)</f>
        <v>20.128499999999999</v>
      </c>
      <c r="H56" s="488">
        <f>ROUND('Loonschijven_Tranches salariale'!$B57*6/H$7+0.000049,4)</f>
        <v>20.3934</v>
      </c>
      <c r="I56" s="488">
        <f>ROUND('Loonschijven_Tranches salariale'!$B57*6/I$7+0.000049,4)</f>
        <v>20.665299999999998</v>
      </c>
      <c r="J56" s="488">
        <f>ROUND('Loonschijven_Tranches salariale'!$B57*6/J$7+0.000049,4)</f>
        <v>20.944500000000001</v>
      </c>
      <c r="K56" s="488">
        <f>ROUND('Loonschijven_Tranches salariale'!$B57*6/K$7+0.000049,4)</f>
        <v>21.2315</v>
      </c>
      <c r="L56" s="488">
        <f>ROUND('Loonschijven_Tranches salariale'!$B57*6/L$7+0.000049,4)</f>
        <v>21.526299999999999</v>
      </c>
      <c r="M56" s="488">
        <f>ROUND('Loonschijven_Tranches salariale'!$B57*6/M$7+0.000049,4)</f>
        <v>21.829499999999999</v>
      </c>
      <c r="N56" s="489">
        <f>ROUND('Loonschijven_Tranches salariale'!$B57*6/N$7+0.000049,4)</f>
        <v>22.141400000000001</v>
      </c>
    </row>
    <row r="57" spans="3:30">
      <c r="C57" s="523">
        <f t="shared" si="2"/>
        <v>78</v>
      </c>
      <c r="D57" s="524">
        <f>ROUND('Loonschijven_Tranches salariale'!$B58*6/D$7+0.000049,4)</f>
        <v>19.5868</v>
      </c>
      <c r="E57" s="524">
        <f>ROUND('Loonschijven_Tranches salariale'!$B58*6/E$7+0.000049,4)</f>
        <v>19.834800000000001</v>
      </c>
      <c r="F57" s="524">
        <f>ROUND('Loonschijven_Tranches salariale'!$B58*6/F$7+0.000049,4)</f>
        <v>20.088999999999999</v>
      </c>
      <c r="G57" s="524">
        <f>ROUND('Loonschijven_Tranches salariale'!$B58*6/G$7+0.000049,4)</f>
        <v>20.349900000000002</v>
      </c>
      <c r="H57" s="524">
        <f>ROUND('Loonschijven_Tranches salariale'!$B58*6/H$7+0.000049,4)</f>
        <v>20.617699999999999</v>
      </c>
      <c r="I57" s="524">
        <f>ROUND('Loonschijven_Tranches salariale'!$B58*6/I$7+0.000049,4)</f>
        <v>20.892600000000002</v>
      </c>
      <c r="J57" s="524">
        <f>ROUND('Loonschijven_Tranches salariale'!$B58*6/J$7+0.000049,4)</f>
        <v>21.174900000000001</v>
      </c>
      <c r="K57" s="524">
        <f>ROUND('Loonschijven_Tranches salariale'!$B58*6/K$7+0.000049,4)</f>
        <v>21.465</v>
      </c>
      <c r="L57" s="524">
        <f>ROUND('Loonschijven_Tranches salariale'!$B58*6/L$7+0.000049,4)</f>
        <v>21.763100000000001</v>
      </c>
      <c r="M57" s="524">
        <f>ROUND('Loonschijven_Tranches salariale'!$B58*6/M$7+0.000049,4)</f>
        <v>22.069700000000001</v>
      </c>
      <c r="N57" s="525">
        <f>ROUND('Loonschijven_Tranches salariale'!$B58*6/N$7+0.000049,4)</f>
        <v>22.384899999999998</v>
      </c>
    </row>
    <row r="58" spans="3:30" ht="15" thickBot="1">
      <c r="C58" s="520">
        <f t="shared" si="2"/>
        <v>79</v>
      </c>
      <c r="D58" s="521">
        <f>ROUND('Loonschijven_Tranches salariale'!$B59*6/D$7+0.000049,4)</f>
        <v>19.802299999999999</v>
      </c>
      <c r="E58" s="521">
        <f>ROUND('Loonschijven_Tranches salariale'!$B59*6/E$7+0.000049,4)</f>
        <v>20.052900000000001</v>
      </c>
      <c r="F58" s="521">
        <f>ROUND('Loonschijven_Tranches salariale'!$B59*6/F$7+0.000049,4)</f>
        <v>20.309999999999999</v>
      </c>
      <c r="G58" s="521">
        <f>ROUND('Loonschijven_Tranches salariale'!$B59*6/G$7+0.000049,4)</f>
        <v>20.573799999999999</v>
      </c>
      <c r="H58" s="521">
        <f>ROUND('Loonschijven_Tranches salariale'!$B59*6/H$7+0.000049,4)</f>
        <v>20.8445</v>
      </c>
      <c r="I58" s="521">
        <f>ROUND('Loonschijven_Tranches salariale'!$B59*6/I$7+0.000049,4)</f>
        <v>21.122399999999999</v>
      </c>
      <c r="J58" s="521">
        <f>ROUND('Loonschijven_Tranches salariale'!$B59*6/J$7+0.000049,4)</f>
        <v>21.407900000000001</v>
      </c>
      <c r="K58" s="521">
        <f>ROUND('Loonschijven_Tranches salariale'!$B59*6/K$7+0.000049,4)</f>
        <v>21.7011</v>
      </c>
      <c r="L58" s="521">
        <f>ROUND('Loonschijven_Tranches salariale'!$B59*6/L$7+0.000049,4)</f>
        <v>22.002500000000001</v>
      </c>
      <c r="M58" s="521">
        <f>ROUND('Loonschijven_Tranches salariale'!$B59*6/M$7+0.000049,4)</f>
        <v>22.3124</v>
      </c>
      <c r="N58" s="522">
        <f>ROUND('Loonschijven_Tranches salariale'!$B59*6/N$7+0.000049,4)</f>
        <v>22.6312</v>
      </c>
    </row>
  </sheetData>
  <sheetProtection algorithmName="SHA-512" hashValue="7KSpnicOtSu3zPBvQO7JTTcdZizhOeNi7A/TiR+8w4OvRs1iKzO/PEmLMJxZV2yINd64TALyBSgvq+pjVnkG1w==" saltValue="qvQ3BCYPWZbkxP2HPlPShg==" spinCount="100000" sheet="1" objects="1" scenarios="1"/>
  <mergeCells count="6">
    <mergeCell ref="D6:N6"/>
    <mergeCell ref="A1:B1"/>
    <mergeCell ref="A2:B2"/>
    <mergeCell ref="I1:K1"/>
    <mergeCell ref="C1:F1"/>
    <mergeCell ref="C2:F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&amp;LRijksdienst voor Arbeidsvoorziening&amp;ROffice national de l'Emploi</oddFooter>
  </headerFooter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67"/>
  <sheetViews>
    <sheetView showGridLines="0" zoomScaleNormal="100" workbookViewId="0">
      <pane ySplit="8" topLeftCell="A9" activePane="bottomLeft" state="frozen"/>
      <selection activeCell="A2" sqref="A2"/>
      <selection pane="bottomLeft" activeCell="A2" sqref="A2:B2"/>
    </sheetView>
  </sheetViews>
  <sheetFormatPr defaultColWidth="9.109375" defaultRowHeight="13.2"/>
  <cols>
    <col min="1" max="1" width="5" style="161" customWidth="1"/>
    <col min="2" max="4" width="9.109375" style="161"/>
    <col min="5" max="5" width="9.109375" style="161" customWidth="1"/>
    <col min="6" max="7" width="9.109375" style="161"/>
    <col min="8" max="8" width="3" style="161" customWidth="1"/>
    <col min="9" max="10" width="9.109375" style="161"/>
    <col min="11" max="11" width="9.44140625" style="161" bestFit="1" customWidth="1"/>
    <col min="12" max="12" width="14.6640625" style="161" customWidth="1"/>
    <col min="13" max="13" width="30.109375" style="161" customWidth="1"/>
    <col min="14" max="14" width="9.109375" style="161"/>
    <col min="15" max="15" width="4.33203125" style="161" customWidth="1"/>
    <col min="16" max="18" width="9.109375" style="161" customWidth="1"/>
    <col min="19" max="19" width="9.109375" style="161"/>
    <col min="20" max="20" width="1.44140625" style="161" customWidth="1"/>
    <col min="21" max="21" width="2.5546875" style="161" customWidth="1"/>
    <col min="22" max="16384" width="9.109375" style="161"/>
  </cols>
  <sheetData>
    <row r="1" spans="1:21" ht="15.75" customHeight="1">
      <c r="A1" s="633" t="s">
        <v>33</v>
      </c>
      <c r="B1" s="634"/>
      <c r="D1" s="700" t="s">
        <v>96</v>
      </c>
      <c r="E1" s="701"/>
      <c r="F1" s="701"/>
      <c r="G1" s="701"/>
      <c r="H1" s="701"/>
      <c r="I1" s="701"/>
      <c r="J1" s="461"/>
      <c r="K1" s="461"/>
      <c r="L1" s="461"/>
      <c r="M1" s="461"/>
      <c r="N1" s="461"/>
      <c r="O1" s="459" t="s">
        <v>34</v>
      </c>
      <c r="P1" s="456"/>
      <c r="Q1" s="456"/>
      <c r="R1" s="462">
        <f>Basisbedragen!H2</f>
        <v>1.7410000000000001</v>
      </c>
      <c r="S1" s="463"/>
      <c r="T1" s="463"/>
    </row>
    <row r="2" spans="1:21" ht="15.75" customHeight="1">
      <c r="A2" s="635">
        <v>45689</v>
      </c>
      <c r="B2" s="636"/>
      <c r="D2" s="702" t="s">
        <v>97</v>
      </c>
      <c r="E2" s="703"/>
      <c r="F2" s="703"/>
      <c r="G2" s="703"/>
      <c r="H2" s="703"/>
      <c r="I2" s="703"/>
      <c r="J2" s="464"/>
      <c r="K2" s="460"/>
      <c r="L2" s="460"/>
      <c r="M2" s="460"/>
      <c r="N2" s="460"/>
      <c r="O2" s="460"/>
      <c r="P2" s="278"/>
      <c r="Q2" s="278"/>
      <c r="R2" s="269"/>
      <c r="S2" s="278"/>
      <c r="T2" s="278"/>
    </row>
    <row r="3" spans="1:21">
      <c r="A3" s="705"/>
      <c r="B3" s="706"/>
      <c r="C3" s="707"/>
      <c r="E3" s="270"/>
      <c r="F3" s="271"/>
      <c r="G3" s="709"/>
      <c r="H3" s="696"/>
      <c r="I3" s="697"/>
      <c r="J3" s="457"/>
      <c r="M3" s="692"/>
      <c r="N3" s="693"/>
      <c r="O3" s="693"/>
      <c r="P3" s="693"/>
      <c r="Q3" s="693"/>
      <c r="R3" s="693"/>
      <c r="S3" s="693"/>
      <c r="T3" s="278"/>
    </row>
    <row r="4" spans="1:21">
      <c r="A4" s="694"/>
      <c r="B4" s="695"/>
      <c r="C4" s="708"/>
      <c r="D4" s="465"/>
      <c r="E4" s="270"/>
      <c r="F4" s="271"/>
      <c r="G4" s="710"/>
      <c r="H4" s="696"/>
      <c r="I4" s="697"/>
      <c r="J4" s="457"/>
      <c r="M4" s="692"/>
      <c r="N4" s="693"/>
      <c r="O4" s="693"/>
      <c r="P4" s="693"/>
      <c r="Q4" s="693"/>
      <c r="R4" s="693"/>
      <c r="S4" s="693"/>
      <c r="T4" s="272"/>
    </row>
    <row r="5" spans="1:21" ht="13.8" thickBot="1">
      <c r="A5" s="278"/>
      <c r="B5" s="278"/>
      <c r="C5" s="278"/>
      <c r="D5" s="466"/>
      <c r="E5" s="272"/>
      <c r="F5" s="278"/>
      <c r="G5" s="464"/>
      <c r="H5" s="464"/>
      <c r="I5" s="464"/>
      <c r="J5" s="464"/>
      <c r="K5" s="460"/>
      <c r="L5" s="460"/>
      <c r="M5" s="467"/>
      <c r="N5" s="467"/>
      <c r="O5" s="467"/>
      <c r="P5" s="468"/>
      <c r="Q5" s="467"/>
      <c r="R5" s="467"/>
      <c r="S5" s="467"/>
      <c r="T5" s="278"/>
    </row>
    <row r="6" spans="1:21">
      <c r="A6" s="278"/>
      <c r="B6" s="278"/>
      <c r="C6" s="278"/>
      <c r="D6" s="466"/>
      <c r="E6" s="272"/>
      <c r="F6" s="278"/>
      <c r="G6" s="464"/>
      <c r="H6" s="464"/>
      <c r="I6" s="464"/>
      <c r="J6" s="464"/>
      <c r="K6" s="460"/>
      <c r="L6" s="460"/>
      <c r="M6" s="469"/>
      <c r="N6" s="698"/>
      <c r="O6" s="699"/>
      <c r="P6" s="711" t="str">
        <f>"volledige uitkering allocation entière"</f>
        <v>volledige uitkering allocation entière</v>
      </c>
      <c r="Q6" s="712"/>
      <c r="R6" s="723" t="str">
        <f>"halve uitkering demi allocation"</f>
        <v>halve uitkering demi allocation</v>
      </c>
      <c r="S6" s="723"/>
      <c r="T6" s="278"/>
    </row>
    <row r="7" spans="1:21" ht="16.5" customHeight="1" thickBot="1">
      <c r="A7" s="470"/>
      <c r="B7" s="275"/>
      <c r="C7" s="272"/>
      <c r="D7" s="273"/>
      <c r="E7" s="274"/>
      <c r="F7" s="275"/>
      <c r="G7" s="275"/>
      <c r="H7" s="275"/>
      <c r="I7" s="275"/>
      <c r="J7" s="275"/>
      <c r="K7" s="276"/>
      <c r="L7" s="276"/>
      <c r="M7" s="272"/>
      <c r="N7" s="272"/>
      <c r="O7" s="272"/>
      <c r="P7" s="713"/>
      <c r="Q7" s="713"/>
      <c r="R7" s="713"/>
      <c r="S7" s="713"/>
      <c r="T7" s="470"/>
    </row>
    <row r="8" spans="1:21" ht="15" customHeight="1" thickBot="1">
      <c r="A8" s="470"/>
      <c r="B8" s="275"/>
      <c r="C8" s="272"/>
      <c r="D8" s="273"/>
      <c r="E8" s="274"/>
      <c r="F8" s="275"/>
      <c r="G8" s="275"/>
      <c r="H8" s="275"/>
      <c r="I8" s="275"/>
      <c r="J8" s="275"/>
      <c r="K8" s="276"/>
      <c r="L8" s="276"/>
      <c r="M8" s="277"/>
      <c r="N8" s="682" t="s">
        <v>83</v>
      </c>
      <c r="O8" s="683"/>
      <c r="P8" s="684"/>
      <c r="Q8" s="685"/>
      <c r="R8" s="686"/>
      <c r="S8" s="685"/>
      <c r="T8" s="470"/>
    </row>
    <row r="9" spans="1:21" ht="15" customHeight="1">
      <c r="A9" s="470"/>
      <c r="B9" s="294"/>
      <c r="C9" s="295"/>
      <c r="D9" s="295"/>
      <c r="E9" s="296"/>
      <c r="F9" s="665" t="s">
        <v>224</v>
      </c>
      <c r="G9" s="688"/>
      <c r="H9" s="688"/>
      <c r="I9" s="688"/>
      <c r="J9" s="688"/>
      <c r="K9" s="688"/>
      <c r="L9" s="689"/>
      <c r="M9" s="283" t="s">
        <v>84</v>
      </c>
      <c r="N9" s="677" t="s">
        <v>85</v>
      </c>
      <c r="O9" s="687"/>
      <c r="P9" s="661">
        <f>ROUND(Basisbedragen!$C$55*$R$1,2)</f>
        <v>70.56</v>
      </c>
      <c r="Q9" s="677"/>
      <c r="R9" s="661">
        <f>ROUND(P9/2,2)</f>
        <v>35.28</v>
      </c>
      <c r="S9" s="677"/>
      <c r="T9" s="470"/>
    </row>
    <row r="10" spans="1:21" ht="15" customHeight="1">
      <c r="A10" s="470"/>
      <c r="B10" s="297"/>
      <c r="E10" s="298"/>
      <c r="F10" s="714" t="s">
        <v>225</v>
      </c>
      <c r="G10" s="715"/>
      <c r="H10" s="715"/>
      <c r="I10" s="715"/>
      <c r="J10" s="715"/>
      <c r="K10" s="715"/>
      <c r="L10" s="716"/>
      <c r="M10" s="471" t="s">
        <v>486</v>
      </c>
      <c r="N10" s="690" t="s">
        <v>85</v>
      </c>
      <c r="O10" s="691"/>
      <c r="P10" s="680">
        <f>ROUND(Basisbedragen!$C$47*$R$1,2)</f>
        <v>67.900000000000006</v>
      </c>
      <c r="Q10" s="690"/>
      <c r="R10" s="680">
        <f>ROUND(P10/2,2)</f>
        <v>33.950000000000003</v>
      </c>
      <c r="S10" s="690"/>
      <c r="T10" s="470"/>
      <c r="U10" s="484"/>
    </row>
    <row r="11" spans="1:21" ht="15" customHeight="1">
      <c r="A11" s="470"/>
      <c r="B11" s="299"/>
      <c r="C11" s="272"/>
      <c r="D11" s="273"/>
      <c r="E11" s="300"/>
      <c r="F11" s="717" t="s">
        <v>220</v>
      </c>
      <c r="G11" s="715"/>
      <c r="H11" s="715"/>
      <c r="I11" s="715"/>
      <c r="J11" s="715"/>
      <c r="K11" s="715"/>
      <c r="L11" s="716"/>
      <c r="M11" s="471" t="s">
        <v>226</v>
      </c>
      <c r="N11" s="690" t="s">
        <v>85</v>
      </c>
      <c r="O11" s="704"/>
      <c r="P11" s="680">
        <f>ROUND(P9*1.2,2)</f>
        <v>84.67</v>
      </c>
      <c r="Q11" s="690"/>
      <c r="R11" s="680">
        <f>ROUND(P11/2,2)</f>
        <v>42.34</v>
      </c>
      <c r="S11" s="690"/>
      <c r="T11" s="470"/>
      <c r="U11" s="484"/>
    </row>
    <row r="12" spans="1:21" ht="15" customHeight="1" thickBot="1">
      <c r="A12" s="470"/>
      <c r="B12" s="299"/>
      <c r="C12" s="272"/>
      <c r="D12" s="273"/>
      <c r="E12" s="300"/>
      <c r="F12" s="718" t="s">
        <v>221</v>
      </c>
      <c r="G12" s="719"/>
      <c r="H12" s="719"/>
      <c r="I12" s="719"/>
      <c r="J12" s="719"/>
      <c r="K12" s="719"/>
      <c r="L12" s="720"/>
      <c r="M12" s="472" t="s">
        <v>227</v>
      </c>
      <c r="N12" s="675" t="s">
        <v>85</v>
      </c>
      <c r="O12" s="673"/>
      <c r="P12" s="675">
        <f>ROUND(P10*1.2,2)</f>
        <v>81.48</v>
      </c>
      <c r="Q12" s="673"/>
      <c r="R12" s="675">
        <f>ROUND(P12/2,2)</f>
        <v>40.74</v>
      </c>
      <c r="S12" s="673"/>
      <c r="T12" s="470"/>
      <c r="U12" s="484"/>
    </row>
    <row r="13" spans="1:21" ht="15" customHeight="1" thickBot="1">
      <c r="A13" s="470"/>
      <c r="B13" s="299"/>
      <c r="C13" s="272"/>
      <c r="D13" s="273"/>
      <c r="E13" s="300"/>
      <c r="F13" s="275"/>
      <c r="G13" s="275"/>
      <c r="H13" s="275"/>
      <c r="I13" s="275"/>
      <c r="J13" s="275"/>
      <c r="K13" s="276"/>
      <c r="L13" s="276"/>
      <c r="T13" s="470"/>
      <c r="U13" s="484"/>
    </row>
    <row r="14" spans="1:21" ht="15" customHeight="1">
      <c r="A14" s="470"/>
      <c r="B14" s="662" t="s">
        <v>86</v>
      </c>
      <c r="C14" s="473" t="s">
        <v>87</v>
      </c>
      <c r="D14"/>
      <c r="E14" s="242"/>
      <c r="F14" s="288"/>
      <c r="G14" s="288"/>
      <c r="H14" s="288"/>
      <c r="I14" s="288"/>
      <c r="J14" s="288"/>
      <c r="K14" s="289"/>
      <c r="L14" s="290"/>
      <c r="M14" s="283" t="s">
        <v>487</v>
      </c>
      <c r="N14" s="659" t="s">
        <v>114</v>
      </c>
      <c r="O14" s="660"/>
      <c r="P14" s="661">
        <f>MAX(ROUND(Basisbedragen!$C$50*$R$1,2),AndereBedrWLH_AutresMontCHOM!$N$72)</f>
        <v>50.55</v>
      </c>
      <c r="Q14" s="660"/>
      <c r="R14" s="661">
        <f>ROUND(P14/2,2)</f>
        <v>25.28</v>
      </c>
      <c r="S14" s="660"/>
      <c r="T14" s="470"/>
      <c r="U14" s="484"/>
    </row>
    <row r="15" spans="1:21" ht="15" customHeight="1">
      <c r="A15" s="470"/>
      <c r="B15" s="662"/>
      <c r="C15" s="473" t="s">
        <v>88</v>
      </c>
      <c r="D15"/>
      <c r="E15" s="242"/>
      <c r="F15" s="693" t="s">
        <v>222</v>
      </c>
      <c r="G15" s="721"/>
      <c r="H15" s="721"/>
      <c r="I15" s="721"/>
      <c r="J15" s="721"/>
      <c r="K15" s="721"/>
      <c r="L15" s="722"/>
      <c r="M15" s="471" t="s">
        <v>228</v>
      </c>
      <c r="N15" s="678" t="s">
        <v>115</v>
      </c>
      <c r="O15" s="679"/>
      <c r="P15" s="680">
        <f>ROUND(Basisbedragen!$C$49*$R$1,2)</f>
        <v>29.18</v>
      </c>
      <c r="Q15" s="679"/>
      <c r="R15" s="680">
        <f>ROUND(P15/2,2)</f>
        <v>14.59</v>
      </c>
      <c r="S15" s="679"/>
      <c r="T15" s="470"/>
      <c r="U15" s="484"/>
    </row>
    <row r="16" spans="1:21" ht="15" customHeight="1" thickBot="1">
      <c r="A16" s="470"/>
      <c r="B16" s="737" t="s">
        <v>488</v>
      </c>
      <c r="C16" s="473" t="s">
        <v>489</v>
      </c>
      <c r="D16"/>
      <c r="E16" s="242"/>
      <c r="F16" s="291"/>
      <c r="G16" s="291"/>
      <c r="H16" s="291"/>
      <c r="I16" s="291"/>
      <c r="J16" s="291"/>
      <c r="K16" s="292"/>
      <c r="L16" s="293"/>
      <c r="M16" s="472" t="s">
        <v>228</v>
      </c>
      <c r="N16" s="673" t="s">
        <v>91</v>
      </c>
      <c r="O16" s="681"/>
      <c r="P16" s="675">
        <f>ROUND(Basisbedragen!$C$48*$R$1,2)</f>
        <v>18.559999999999999</v>
      </c>
      <c r="Q16" s="681"/>
      <c r="R16" s="675">
        <f>ROUND(P16/2,2)</f>
        <v>9.2799999999999994</v>
      </c>
      <c r="S16" s="681"/>
      <c r="T16" s="470"/>
      <c r="U16" s="484"/>
    </row>
    <row r="17" spans="1:21" ht="15" customHeight="1" thickBot="1">
      <c r="A17" s="470"/>
      <c r="B17" s="737"/>
      <c r="C17" s="473" t="s">
        <v>490</v>
      </c>
      <c r="D17"/>
      <c r="E17" s="242"/>
      <c r="F17" s="275"/>
      <c r="G17" s="275"/>
      <c r="H17" s="275"/>
      <c r="I17" s="275"/>
      <c r="J17" s="275"/>
      <c r="K17" s="276"/>
      <c r="L17" s="276"/>
      <c r="T17" s="470"/>
      <c r="U17" s="484"/>
    </row>
    <row r="18" spans="1:21" ht="15" customHeight="1">
      <c r="A18" s="470"/>
      <c r="B18" s="297"/>
      <c r="F18" s="728" t="s">
        <v>217</v>
      </c>
      <c r="G18" s="729"/>
      <c r="H18" s="729"/>
      <c r="I18" s="729"/>
      <c r="J18" s="729"/>
      <c r="K18" s="729"/>
      <c r="L18" s="730"/>
      <c r="M18" s="474" t="s">
        <v>491</v>
      </c>
      <c r="N18" s="659" t="s">
        <v>116</v>
      </c>
      <c r="O18" s="676"/>
      <c r="P18" s="661">
        <f>ROUND(Basisbedragen!$C$54*$R$1,2)</f>
        <v>27.82</v>
      </c>
      <c r="Q18" s="677"/>
      <c r="R18" s="661">
        <f>ROUND(P18/2,2)</f>
        <v>13.91</v>
      </c>
      <c r="S18" s="677"/>
      <c r="T18" s="470"/>
      <c r="U18" s="484"/>
    </row>
    <row r="19" spans="1:21" ht="15" customHeight="1" thickBot="1">
      <c r="A19" s="470"/>
      <c r="B19" s="299"/>
      <c r="C19" s="272"/>
      <c r="D19" s="273"/>
      <c r="E19" s="300"/>
      <c r="F19" s="731" t="s">
        <v>218</v>
      </c>
      <c r="G19" s="732"/>
      <c r="H19" s="732"/>
      <c r="I19" s="732"/>
      <c r="J19" s="732"/>
      <c r="K19" s="732"/>
      <c r="L19" s="733"/>
      <c r="M19" s="472" t="s">
        <v>229</v>
      </c>
      <c r="N19" s="673" t="s">
        <v>91</v>
      </c>
      <c r="O19" s="674"/>
      <c r="P19" s="675">
        <f>ROUND(Basisbedragen!$C$53*$R$1,2)</f>
        <v>17.32</v>
      </c>
      <c r="Q19" s="673"/>
      <c r="R19" s="675">
        <f>ROUND(P19/2,2)</f>
        <v>8.66</v>
      </c>
      <c r="S19" s="673"/>
      <c r="T19" s="470"/>
      <c r="U19" s="484"/>
    </row>
    <row r="20" spans="1:21" ht="15" customHeight="1" thickBot="1">
      <c r="A20" s="470"/>
      <c r="B20" s="299"/>
      <c r="C20" s="272"/>
      <c r="D20" s="273"/>
      <c r="E20" s="300"/>
      <c r="F20" s="275"/>
      <c r="G20" s="275"/>
      <c r="H20" s="275"/>
      <c r="I20" s="275"/>
      <c r="J20" s="275"/>
      <c r="K20" s="276"/>
      <c r="L20" s="276"/>
      <c r="T20" s="470"/>
      <c r="U20" s="484"/>
    </row>
    <row r="21" spans="1:21" ht="15" customHeight="1">
      <c r="A21" s="470"/>
      <c r="B21" s="299"/>
      <c r="C21" s="272"/>
      <c r="D21" s="273"/>
      <c r="E21" s="300"/>
      <c r="F21" s="665" t="s">
        <v>219</v>
      </c>
      <c r="G21" s="688"/>
      <c r="H21" s="688"/>
      <c r="I21" s="688"/>
      <c r="J21" s="688"/>
      <c r="K21" s="688"/>
      <c r="L21" s="689"/>
      <c r="M21" s="283" t="s">
        <v>492</v>
      </c>
      <c r="N21" s="659" t="s">
        <v>116</v>
      </c>
      <c r="O21" s="676"/>
      <c r="P21" s="661">
        <f>ROUND(Basisbedragen!$C$52*$R$1,2)</f>
        <v>24.39</v>
      </c>
      <c r="Q21" s="677"/>
      <c r="R21" s="661">
        <f>ROUND(P21/2,2)</f>
        <v>12.2</v>
      </c>
      <c r="S21" s="677"/>
      <c r="T21" s="470"/>
      <c r="U21" s="484"/>
    </row>
    <row r="22" spans="1:21" ht="15" customHeight="1" thickBot="1">
      <c r="A22" s="470"/>
      <c r="B22" s="301"/>
      <c r="C22" s="302"/>
      <c r="D22" s="303"/>
      <c r="E22" s="304"/>
      <c r="F22" s="671" t="s">
        <v>223</v>
      </c>
      <c r="G22" s="719"/>
      <c r="H22" s="719"/>
      <c r="I22" s="719"/>
      <c r="J22" s="719"/>
      <c r="K22" s="719"/>
      <c r="L22" s="720"/>
      <c r="M22" s="472" t="s">
        <v>230</v>
      </c>
      <c r="N22" s="673" t="s">
        <v>91</v>
      </c>
      <c r="O22" s="674"/>
      <c r="P22" s="675">
        <f>ROUND(Basisbedragen!$C$51*$R$1,2)</f>
        <v>15.3</v>
      </c>
      <c r="Q22" s="673"/>
      <c r="R22" s="675">
        <f>ROUND(P22/2,2)</f>
        <v>7.65</v>
      </c>
      <c r="S22" s="673"/>
      <c r="T22" s="470"/>
      <c r="U22" s="484"/>
    </row>
    <row r="23" spans="1:21" ht="15" customHeight="1">
      <c r="A23" s="470"/>
      <c r="B23" s="275"/>
      <c r="C23" s="272"/>
      <c r="D23" s="273"/>
      <c r="E23" s="274"/>
      <c r="F23" s="275"/>
      <c r="G23" s="275"/>
      <c r="H23" s="275"/>
      <c r="I23" s="275"/>
      <c r="J23" s="275"/>
      <c r="K23" s="276"/>
      <c r="L23" s="276"/>
      <c r="M23" s="272"/>
      <c r="N23" s="272"/>
      <c r="O23" s="272"/>
      <c r="T23" s="470"/>
      <c r="U23" s="484"/>
    </row>
    <row r="24" spans="1:21" ht="15" customHeight="1" thickBot="1">
      <c r="A24" s="278"/>
      <c r="B24" s="278"/>
      <c r="C24" s="272"/>
      <c r="D24" s="273"/>
      <c r="E24" s="274"/>
      <c r="F24" s="275"/>
      <c r="G24" s="275"/>
      <c r="H24" s="275"/>
      <c r="I24" s="275"/>
      <c r="J24" s="275"/>
      <c r="K24" s="276"/>
      <c r="L24" s="276"/>
      <c r="M24" s="272"/>
      <c r="N24" s="272"/>
      <c r="O24" s="272"/>
      <c r="T24" s="278"/>
      <c r="U24" s="484"/>
    </row>
    <row r="25" spans="1:21" ht="15" customHeight="1" thickBot="1">
      <c r="A25" s="278"/>
      <c r="B25" s="294"/>
      <c r="C25" s="295"/>
      <c r="D25" s="295"/>
      <c r="E25" s="295"/>
      <c r="F25" s="295"/>
      <c r="G25" s="295"/>
      <c r="H25" s="296"/>
      <c r="I25" s="734" t="s">
        <v>216</v>
      </c>
      <c r="J25" s="734"/>
      <c r="K25" s="734"/>
      <c r="L25" s="735"/>
      <c r="M25" s="169" t="s">
        <v>342</v>
      </c>
      <c r="N25" s="725" t="s">
        <v>85</v>
      </c>
      <c r="O25" s="726"/>
      <c r="P25" s="657">
        <f>P10</f>
        <v>67.900000000000006</v>
      </c>
      <c r="Q25" s="727"/>
      <c r="R25" s="657">
        <f>ROUND(P25/2,2)</f>
        <v>33.950000000000003</v>
      </c>
      <c r="S25" s="658"/>
      <c r="T25" s="278"/>
      <c r="U25" s="484"/>
    </row>
    <row r="26" spans="1:21" ht="15" customHeight="1" thickBot="1">
      <c r="A26" s="278"/>
      <c r="B26" s="297"/>
      <c r="H26" s="298"/>
      <c r="T26" s="278"/>
      <c r="U26" s="484"/>
    </row>
    <row r="27" spans="1:21" ht="15" customHeight="1">
      <c r="A27" s="278"/>
      <c r="B27" s="724"/>
      <c r="C27" s="654"/>
      <c r="D27" s="654"/>
      <c r="E27" s="654"/>
      <c r="F27" s="654"/>
      <c r="G27" s="654"/>
      <c r="H27" s="655"/>
      <c r="I27" s="284"/>
      <c r="J27" s="284"/>
      <c r="K27" s="284"/>
      <c r="L27" s="285"/>
      <c r="M27" s="283" t="s">
        <v>343</v>
      </c>
      <c r="N27" s="659" t="s">
        <v>114</v>
      </c>
      <c r="O27" s="660"/>
      <c r="P27" s="661">
        <f>P14</f>
        <v>50.55</v>
      </c>
      <c r="Q27" s="660"/>
      <c r="R27" s="661">
        <f>ROUND(P27/2,2)</f>
        <v>25.28</v>
      </c>
      <c r="S27" s="660"/>
      <c r="T27" s="278"/>
      <c r="U27" s="484"/>
    </row>
    <row r="28" spans="1:21" ht="15" customHeight="1">
      <c r="A28" s="278"/>
      <c r="B28" s="664"/>
      <c r="C28" s="654"/>
      <c r="D28" s="654"/>
      <c r="E28" s="654"/>
      <c r="F28" s="654"/>
      <c r="G28" s="654"/>
      <c r="H28" s="655"/>
      <c r="I28" s="693" t="s">
        <v>222</v>
      </c>
      <c r="J28" s="693"/>
      <c r="K28" s="693"/>
      <c r="L28" s="736"/>
      <c r="M28" s="471" t="s">
        <v>344</v>
      </c>
      <c r="N28" s="678" t="s">
        <v>115</v>
      </c>
      <c r="O28" s="679"/>
      <c r="P28" s="680">
        <f>P15</f>
        <v>29.18</v>
      </c>
      <c r="Q28" s="679"/>
      <c r="R28" s="680">
        <f>ROUND(P28/2,2)</f>
        <v>14.59</v>
      </c>
      <c r="S28" s="679"/>
      <c r="T28" s="278"/>
      <c r="U28" s="484"/>
    </row>
    <row r="29" spans="1:21" ht="15" customHeight="1" thickBot="1">
      <c r="A29" s="278"/>
      <c r="B29" s="724" t="s">
        <v>89</v>
      </c>
      <c r="C29" s="654" t="s">
        <v>90</v>
      </c>
      <c r="D29" s="654"/>
      <c r="E29" s="654"/>
      <c r="F29" s="654"/>
      <c r="G29" s="654"/>
      <c r="H29" s="655"/>
      <c r="I29" s="286"/>
      <c r="J29" s="286"/>
      <c r="K29" s="286"/>
      <c r="L29" s="287"/>
      <c r="M29" s="472" t="s">
        <v>345</v>
      </c>
      <c r="N29" s="673" t="s">
        <v>91</v>
      </c>
      <c r="O29" s="681"/>
      <c r="P29" s="675">
        <f>P16</f>
        <v>18.559999999999999</v>
      </c>
      <c r="Q29" s="681"/>
      <c r="R29" s="675">
        <f>ROUND(P29/2,2)</f>
        <v>9.2799999999999994</v>
      </c>
      <c r="S29" s="681"/>
      <c r="T29" s="278"/>
      <c r="U29" s="484"/>
    </row>
    <row r="30" spans="1:21" ht="15" customHeight="1" thickBot="1">
      <c r="A30" s="278"/>
      <c r="B30" s="664"/>
      <c r="C30" s="654" t="s">
        <v>92</v>
      </c>
      <c r="D30" s="654"/>
      <c r="E30" s="654"/>
      <c r="F30" s="654"/>
      <c r="G30" s="654"/>
      <c r="H30" s="655"/>
      <c r="T30" s="278"/>
      <c r="U30" s="484"/>
    </row>
    <row r="31" spans="1:21" ht="15" customHeight="1">
      <c r="A31" s="278"/>
      <c r="B31" s="662" t="s">
        <v>93</v>
      </c>
      <c r="C31" s="654" t="s">
        <v>94</v>
      </c>
      <c r="D31" s="654"/>
      <c r="E31" s="654"/>
      <c r="F31" s="654"/>
      <c r="G31" s="654"/>
      <c r="H31" s="655"/>
      <c r="I31" s="665" t="s">
        <v>217</v>
      </c>
      <c r="J31" s="665"/>
      <c r="K31" s="665"/>
      <c r="L31" s="666"/>
      <c r="M31" s="283" t="s">
        <v>346</v>
      </c>
      <c r="N31" s="659" t="s">
        <v>116</v>
      </c>
      <c r="O31" s="676"/>
      <c r="P31" s="661">
        <f>P18</f>
        <v>27.82</v>
      </c>
      <c r="Q31" s="677"/>
      <c r="R31" s="661">
        <f>ROUND(P31/2,2)</f>
        <v>13.91</v>
      </c>
      <c r="S31" s="677"/>
      <c r="T31" s="278"/>
      <c r="U31" s="484"/>
    </row>
    <row r="32" spans="1:21" ht="15" customHeight="1" thickBot="1">
      <c r="A32" s="278"/>
      <c r="B32" s="662"/>
      <c r="C32" s="654" t="s">
        <v>95</v>
      </c>
      <c r="D32" s="654"/>
      <c r="E32" s="654"/>
      <c r="F32" s="654"/>
      <c r="G32" s="654"/>
      <c r="H32" s="655"/>
      <c r="I32" s="671" t="s">
        <v>218</v>
      </c>
      <c r="J32" s="671"/>
      <c r="K32" s="671"/>
      <c r="L32" s="672"/>
      <c r="M32" s="472" t="s">
        <v>347</v>
      </c>
      <c r="N32" s="673" t="s">
        <v>91</v>
      </c>
      <c r="O32" s="674"/>
      <c r="P32" s="675">
        <f>P19</f>
        <v>17.32</v>
      </c>
      <c r="Q32" s="673"/>
      <c r="R32" s="675">
        <f>ROUND(P32/2,2)</f>
        <v>8.66</v>
      </c>
      <c r="S32" s="673"/>
      <c r="T32" s="278"/>
      <c r="U32" s="484"/>
    </row>
    <row r="33" spans="1:21" ht="15" customHeight="1" thickBot="1">
      <c r="A33" s="278"/>
      <c r="B33" s="663"/>
      <c r="C33" s="654"/>
      <c r="D33" s="654"/>
      <c r="E33" s="654"/>
      <c r="F33" s="654"/>
      <c r="G33" s="654"/>
      <c r="H33" s="655"/>
      <c r="T33" s="278"/>
      <c r="U33" s="484"/>
    </row>
    <row r="34" spans="1:21" ht="15" customHeight="1">
      <c r="A34" s="278"/>
      <c r="B34" s="664"/>
      <c r="C34" s="654"/>
      <c r="D34" s="654"/>
      <c r="E34" s="654"/>
      <c r="F34" s="654"/>
      <c r="G34" s="654"/>
      <c r="H34" s="655"/>
      <c r="I34" s="665" t="s">
        <v>219</v>
      </c>
      <c r="J34" s="665"/>
      <c r="K34" s="665"/>
      <c r="L34" s="666"/>
      <c r="M34" s="283" t="s">
        <v>348</v>
      </c>
      <c r="N34" s="659" t="s">
        <v>116</v>
      </c>
      <c r="O34" s="676"/>
      <c r="P34" s="661">
        <f>P21</f>
        <v>24.39</v>
      </c>
      <c r="Q34" s="677"/>
      <c r="R34" s="661">
        <f>ROUND(P34/2,2)</f>
        <v>12.2</v>
      </c>
      <c r="S34" s="677"/>
      <c r="T34" s="278"/>
      <c r="U34" s="484"/>
    </row>
    <row r="35" spans="1:21" ht="15" customHeight="1" thickBot="1">
      <c r="A35" s="278"/>
      <c r="B35" s="305"/>
      <c r="C35" s="163"/>
      <c r="D35" s="163"/>
      <c r="E35" s="163"/>
      <c r="F35" s="163"/>
      <c r="G35" s="163"/>
      <c r="H35" s="306"/>
      <c r="I35" s="671" t="s">
        <v>223</v>
      </c>
      <c r="J35" s="671"/>
      <c r="K35" s="671"/>
      <c r="L35" s="672"/>
      <c r="M35" s="472" t="s">
        <v>349</v>
      </c>
      <c r="N35" s="673" t="s">
        <v>91</v>
      </c>
      <c r="O35" s="674"/>
      <c r="P35" s="675">
        <f>P22</f>
        <v>15.3</v>
      </c>
      <c r="Q35" s="673"/>
      <c r="R35" s="675">
        <f>ROUND(P35/2,2)</f>
        <v>7.65</v>
      </c>
      <c r="S35" s="673"/>
      <c r="T35" s="278"/>
      <c r="U35" s="484"/>
    </row>
    <row r="36" spans="1:21" ht="13.8" thickBot="1">
      <c r="A36" s="278"/>
      <c r="B36" s="278"/>
      <c r="C36" s="475"/>
      <c r="T36" s="278"/>
      <c r="U36" s="484"/>
    </row>
    <row r="37" spans="1:21" ht="15" customHeight="1" thickBot="1">
      <c r="B37" s="294"/>
      <c r="C37" s="295"/>
      <c r="D37" s="295"/>
      <c r="E37" s="295"/>
      <c r="F37" s="295"/>
      <c r="G37" s="295"/>
      <c r="H37" s="296"/>
      <c r="I37" s="656" t="s">
        <v>261</v>
      </c>
      <c r="J37" s="656"/>
      <c r="K37" s="656"/>
      <c r="L37" s="656"/>
      <c r="M37" s="341" t="s">
        <v>138</v>
      </c>
      <c r="N37" s="667" t="s">
        <v>85</v>
      </c>
      <c r="O37" s="619"/>
      <c r="P37" s="668">
        <f>Basisbedragen!$C$9</f>
        <v>26.82</v>
      </c>
      <c r="Q37" s="619"/>
      <c r="R37" s="669"/>
      <c r="S37" s="670"/>
      <c r="T37" s="297"/>
      <c r="U37" s="150"/>
    </row>
    <row r="38" spans="1:21" ht="15" customHeight="1">
      <c r="B38" s="297"/>
      <c r="H38" s="298"/>
      <c r="I38" s="745" t="s">
        <v>254</v>
      </c>
      <c r="J38" s="746"/>
      <c r="K38" s="746"/>
      <c r="L38" s="747"/>
      <c r="M38" s="336"/>
      <c r="N38" s="764"/>
      <c r="O38" s="765"/>
      <c r="P38" s="764"/>
      <c r="Q38" s="765"/>
      <c r="R38" s="764"/>
      <c r="S38" s="765"/>
      <c r="T38" s="297"/>
      <c r="U38" s="150"/>
    </row>
    <row r="39" spans="1:21" ht="15" customHeight="1">
      <c r="B39" s="297"/>
      <c r="H39" s="298"/>
      <c r="I39" s="776" t="s">
        <v>216</v>
      </c>
      <c r="J39" s="777"/>
      <c r="K39" s="777"/>
      <c r="L39" s="778"/>
      <c r="M39" s="337" t="s">
        <v>256</v>
      </c>
      <c r="N39" s="738" t="s">
        <v>85</v>
      </c>
      <c r="O39" s="739"/>
      <c r="P39" s="766">
        <f>IF(P9&gt;=$P$37,P9,$P$37)</f>
        <v>70.56</v>
      </c>
      <c r="Q39" s="739"/>
      <c r="R39" s="768"/>
      <c r="S39" s="769"/>
      <c r="T39" s="297"/>
      <c r="U39" s="150"/>
    </row>
    <row r="40" spans="1:21" ht="15" customHeight="1">
      <c r="B40" s="297"/>
      <c r="H40" s="298"/>
      <c r="I40" s="779"/>
      <c r="J40" s="777"/>
      <c r="K40" s="777"/>
      <c r="L40" s="778"/>
      <c r="M40" s="337" t="s">
        <v>257</v>
      </c>
      <c r="N40" s="738" t="s">
        <v>85</v>
      </c>
      <c r="O40" s="739"/>
      <c r="P40" s="766">
        <f>IF(P10&gt;=$P$37,P10,$P$37)</f>
        <v>67.900000000000006</v>
      </c>
      <c r="Q40" s="739"/>
      <c r="R40" s="768"/>
      <c r="S40" s="769"/>
      <c r="T40" s="297"/>
      <c r="U40" s="150"/>
    </row>
    <row r="41" spans="1:21" ht="15" customHeight="1">
      <c r="A41" s="278"/>
      <c r="B41" s="458"/>
      <c r="H41" s="298"/>
      <c r="I41" s="777"/>
      <c r="J41" s="777"/>
      <c r="K41" s="777"/>
      <c r="L41" s="778"/>
      <c r="M41" s="337" t="s">
        <v>258</v>
      </c>
      <c r="N41" s="738" t="s">
        <v>85</v>
      </c>
      <c r="O41" s="739"/>
      <c r="P41" s="766">
        <f>IF(P11&gt;=$P$37,P11,$P$37)</f>
        <v>84.67</v>
      </c>
      <c r="Q41" s="739"/>
      <c r="R41" s="768"/>
      <c r="S41" s="769"/>
      <c r="T41" s="340"/>
      <c r="U41" s="150"/>
    </row>
    <row r="42" spans="1:21" ht="15" customHeight="1">
      <c r="A42" s="278"/>
      <c r="B42" s="762" t="s">
        <v>301</v>
      </c>
      <c r="C42" s="654" t="s">
        <v>245</v>
      </c>
      <c r="D42" s="654"/>
      <c r="E42" s="654"/>
      <c r="F42" s="654"/>
      <c r="G42" s="654"/>
      <c r="H42" s="655"/>
      <c r="I42" s="777"/>
      <c r="J42" s="777"/>
      <c r="K42" s="777"/>
      <c r="L42" s="778"/>
      <c r="M42" s="337" t="s">
        <v>259</v>
      </c>
      <c r="N42" s="738" t="s">
        <v>85</v>
      </c>
      <c r="O42" s="739"/>
      <c r="P42" s="766">
        <f>IF(P12&gt;=$P$37,P12,$P$37)</f>
        <v>81.48</v>
      </c>
      <c r="Q42" s="739"/>
      <c r="R42" s="768"/>
      <c r="S42" s="769"/>
      <c r="T42" s="340"/>
      <c r="U42" s="150"/>
    </row>
    <row r="43" spans="1:21" ht="15" customHeight="1">
      <c r="A43" s="278"/>
      <c r="B43" s="763"/>
      <c r="C43" s="473" t="s">
        <v>262</v>
      </c>
      <c r="D43" s="473"/>
      <c r="E43" s="473"/>
      <c r="F43" s="473"/>
      <c r="G43" s="473"/>
      <c r="H43" s="476"/>
      <c r="I43" s="750" t="s">
        <v>222</v>
      </c>
      <c r="J43" s="751"/>
      <c r="K43" s="751"/>
      <c r="L43" s="752"/>
      <c r="M43" s="338" t="s">
        <v>260</v>
      </c>
      <c r="N43" s="742" t="s">
        <v>255</v>
      </c>
      <c r="O43" s="743"/>
      <c r="P43" s="766">
        <f>IF(P14&gt;=$P$37,P14,$P$37)</f>
        <v>50.55</v>
      </c>
      <c r="Q43" s="739"/>
      <c r="R43" s="772"/>
      <c r="S43" s="773"/>
      <c r="T43" s="340"/>
      <c r="U43" s="150"/>
    </row>
    <row r="44" spans="1:21" ht="15" customHeight="1">
      <c r="A44" s="278"/>
      <c r="B44" s="340"/>
      <c r="H44" s="298"/>
      <c r="I44" s="753"/>
      <c r="J44" s="754"/>
      <c r="K44" s="754"/>
      <c r="L44" s="755"/>
      <c r="M44" s="337" t="s">
        <v>260</v>
      </c>
      <c r="N44" s="744" t="s">
        <v>302</v>
      </c>
      <c r="O44" s="744"/>
      <c r="P44" s="766">
        <f>IF(P15&gt;=$P$37,P15,$P$37)</f>
        <v>29.18</v>
      </c>
      <c r="Q44" s="739"/>
      <c r="R44" s="772"/>
      <c r="S44" s="773"/>
      <c r="T44" s="340"/>
      <c r="U44" s="150"/>
    </row>
    <row r="45" spans="1:21" ht="15" customHeight="1">
      <c r="A45" s="278"/>
      <c r="B45" s="340"/>
      <c r="H45" s="298"/>
      <c r="I45" s="753"/>
      <c r="J45" s="754"/>
      <c r="K45" s="754"/>
      <c r="L45" s="755"/>
      <c r="M45" s="354" t="s">
        <v>260</v>
      </c>
      <c r="N45" s="748" t="s">
        <v>91</v>
      </c>
      <c r="O45" s="749"/>
      <c r="P45" s="766">
        <f>IF(P16&gt;=$P$37,P16,$P$37)</f>
        <v>26.82</v>
      </c>
      <c r="Q45" s="739"/>
      <c r="R45" s="355"/>
      <c r="S45" s="356"/>
      <c r="T45" s="340"/>
      <c r="U45" s="150"/>
    </row>
    <row r="46" spans="1:21" ht="15" customHeight="1">
      <c r="A46" s="278"/>
      <c r="B46" s="340"/>
      <c r="H46" s="298"/>
      <c r="I46" s="756" t="s">
        <v>217</v>
      </c>
      <c r="J46" s="757"/>
      <c r="K46" s="757"/>
      <c r="L46" s="758"/>
      <c r="M46" s="337" t="s">
        <v>299</v>
      </c>
      <c r="N46" s="748" t="s">
        <v>303</v>
      </c>
      <c r="O46" s="749"/>
      <c r="P46" s="766">
        <f>IF(P18&gt;=$P$37,P18,$P$37)</f>
        <v>27.82</v>
      </c>
      <c r="Q46" s="739"/>
      <c r="R46" s="355"/>
      <c r="S46" s="356"/>
      <c r="T46" s="340"/>
      <c r="U46" s="150"/>
    </row>
    <row r="47" spans="1:21" ht="15" customHeight="1">
      <c r="A47" s="278"/>
      <c r="B47" s="340"/>
      <c r="H47" s="298"/>
      <c r="I47" s="759" t="s">
        <v>218</v>
      </c>
      <c r="J47" s="760"/>
      <c r="K47" s="760"/>
      <c r="L47" s="761"/>
      <c r="M47" s="337" t="s">
        <v>299</v>
      </c>
      <c r="N47" s="748" t="s">
        <v>91</v>
      </c>
      <c r="O47" s="749"/>
      <c r="P47" s="766">
        <f>IF(P19&gt;=$P$37,P19,$P$37)</f>
        <v>26.82</v>
      </c>
      <c r="Q47" s="739"/>
      <c r="R47" s="355"/>
      <c r="S47" s="356"/>
      <c r="T47" s="340"/>
      <c r="U47" s="150"/>
    </row>
    <row r="48" spans="1:21" ht="15" customHeight="1">
      <c r="A48" s="278"/>
      <c r="B48" s="340"/>
      <c r="H48" s="298"/>
      <c r="I48" s="756" t="s">
        <v>219</v>
      </c>
      <c r="J48" s="757"/>
      <c r="K48" s="757"/>
      <c r="L48" s="758"/>
      <c r="M48" s="337" t="s">
        <v>300</v>
      </c>
      <c r="N48" s="748" t="s">
        <v>303</v>
      </c>
      <c r="O48" s="749"/>
      <c r="P48" s="766">
        <f>IF(P21&gt;=$P$37,P21,$P$37)</f>
        <v>26.82</v>
      </c>
      <c r="Q48" s="739"/>
      <c r="R48" s="355"/>
      <c r="S48" s="356"/>
      <c r="T48" s="340"/>
      <c r="U48" s="150"/>
    </row>
    <row r="49" spans="1:21" ht="15" customHeight="1" thickBot="1">
      <c r="A49" s="278"/>
      <c r="B49" s="305"/>
      <c r="C49" s="163"/>
      <c r="D49" s="163"/>
      <c r="E49" s="163"/>
      <c r="F49" s="163"/>
      <c r="G49" s="163"/>
      <c r="H49" s="306"/>
      <c r="I49" s="774" t="s">
        <v>223</v>
      </c>
      <c r="J49" s="731"/>
      <c r="K49" s="731"/>
      <c r="L49" s="775"/>
      <c r="M49" s="339" t="s">
        <v>300</v>
      </c>
      <c r="N49" s="740" t="s">
        <v>91</v>
      </c>
      <c r="O49" s="741"/>
      <c r="P49" s="767">
        <f>IF(P22&gt;=$P$37,P22,$P$37)</f>
        <v>26.82</v>
      </c>
      <c r="Q49" s="741"/>
      <c r="R49" s="770"/>
      <c r="S49" s="771"/>
      <c r="T49" s="340"/>
      <c r="U49" s="150"/>
    </row>
    <row r="50" spans="1:21">
      <c r="A50" s="278"/>
      <c r="B50" s="278"/>
      <c r="C50" s="477"/>
      <c r="D50" s="478"/>
      <c r="E50" s="478"/>
      <c r="F50" s="478"/>
      <c r="G50" s="464"/>
      <c r="H50" s="464"/>
      <c r="I50" s="479"/>
      <c r="J50" s="479"/>
      <c r="K50" s="280"/>
      <c r="L50" s="280"/>
      <c r="P50" s="480"/>
      <c r="Q50" s="281"/>
      <c r="T50" s="278"/>
    </row>
    <row r="51" spans="1:21">
      <c r="A51" s="278"/>
      <c r="B51" s="278"/>
      <c r="P51" s="480"/>
      <c r="Q51" s="281"/>
      <c r="T51" s="278"/>
    </row>
    <row r="52" spans="1:21">
      <c r="A52" s="278"/>
      <c r="B52" s="278"/>
      <c r="P52" s="480"/>
      <c r="Q52" s="281"/>
      <c r="T52" s="278"/>
    </row>
    <row r="53" spans="1:21">
      <c r="A53" s="278"/>
      <c r="B53" s="278"/>
      <c r="P53" s="480"/>
      <c r="Q53" s="281"/>
      <c r="T53" s="278"/>
    </row>
    <row r="54" spans="1:21">
      <c r="A54" s="278"/>
      <c r="B54" s="278"/>
      <c r="C54" s="481"/>
      <c r="D54" s="481"/>
      <c r="E54" s="481"/>
      <c r="F54" s="481"/>
      <c r="G54" s="481"/>
      <c r="H54" s="481"/>
      <c r="I54" s="481"/>
      <c r="J54" s="481"/>
      <c r="K54" s="280"/>
      <c r="L54" s="280"/>
      <c r="M54" s="482"/>
      <c r="N54" s="464"/>
      <c r="O54" s="479"/>
      <c r="P54" s="480"/>
      <c r="Q54" s="281"/>
      <c r="T54" s="278"/>
    </row>
    <row r="55" spans="1:21">
      <c r="A55" s="278"/>
      <c r="B55" s="278"/>
      <c r="T55" s="278"/>
    </row>
    <row r="56" spans="1:21">
      <c r="A56" s="278"/>
      <c r="B56" s="278"/>
      <c r="T56" s="278"/>
    </row>
    <row r="57" spans="1:21">
      <c r="A57" s="278"/>
      <c r="B57" s="278"/>
      <c r="T57" s="278"/>
    </row>
    <row r="58" spans="1:21">
      <c r="A58" s="278"/>
      <c r="B58" s="278"/>
      <c r="C58" s="278"/>
      <c r="D58" s="279"/>
      <c r="E58" s="280"/>
      <c r="F58" s="278"/>
      <c r="G58" s="280"/>
      <c r="H58" s="280"/>
      <c r="I58" s="280"/>
      <c r="J58" s="280"/>
      <c r="K58" s="280"/>
      <c r="L58" s="280"/>
      <c r="M58" s="464"/>
      <c r="N58" s="464"/>
      <c r="O58" s="278"/>
      <c r="P58" s="281"/>
      <c r="Q58" s="281"/>
      <c r="R58" s="281"/>
      <c r="S58" s="281"/>
      <c r="T58" s="278"/>
    </row>
    <row r="59" spans="1:21">
      <c r="A59" s="278"/>
      <c r="B59" s="278"/>
      <c r="T59" s="278"/>
    </row>
    <row r="60" spans="1:21">
      <c r="A60" s="278"/>
      <c r="B60" s="278"/>
      <c r="T60" s="278"/>
    </row>
    <row r="61" spans="1:21">
      <c r="A61" s="278"/>
      <c r="B61" s="278"/>
      <c r="C61" s="278"/>
      <c r="D61" s="279"/>
      <c r="E61" s="282"/>
      <c r="F61" s="278"/>
      <c r="G61" s="483"/>
      <c r="H61" s="483"/>
      <c r="I61" s="483"/>
      <c r="J61" s="483"/>
      <c r="K61" s="460"/>
      <c r="L61" s="460"/>
      <c r="M61" s="464"/>
      <c r="N61" s="464"/>
      <c r="O61" s="460"/>
      <c r="P61" s="281"/>
      <c r="Q61" s="281"/>
      <c r="R61" s="278"/>
      <c r="S61" s="278"/>
      <c r="T61" s="278"/>
    </row>
    <row r="62" spans="1:21">
      <c r="A62" s="278"/>
      <c r="B62" s="278"/>
      <c r="T62" s="278"/>
    </row>
    <row r="63" spans="1:21">
      <c r="A63" s="278"/>
      <c r="B63" s="278"/>
      <c r="T63" s="278"/>
    </row>
    <row r="64" spans="1:21">
      <c r="A64" s="278"/>
      <c r="B64" s="278"/>
      <c r="T64" s="278"/>
    </row>
    <row r="65" spans="1:20">
      <c r="A65" s="278"/>
      <c r="B65" s="278"/>
      <c r="C65" s="278"/>
      <c r="D65" s="278"/>
      <c r="E65" s="466"/>
      <c r="F65" s="278"/>
      <c r="G65" s="483"/>
      <c r="H65" s="483"/>
      <c r="I65" s="483"/>
      <c r="J65" s="483"/>
      <c r="K65" s="460"/>
      <c r="L65" s="460"/>
      <c r="M65" s="460"/>
      <c r="N65" s="460"/>
      <c r="O65" s="460"/>
      <c r="P65" s="281"/>
      <c r="Q65" s="281"/>
      <c r="R65" s="281"/>
      <c r="S65" s="281"/>
      <c r="T65" s="278"/>
    </row>
    <row r="66" spans="1:20">
      <c r="A66" s="278"/>
      <c r="B66" s="278"/>
      <c r="R66" s="281"/>
      <c r="S66" s="281"/>
      <c r="T66" s="278"/>
    </row>
    <row r="67" spans="1:20">
      <c r="R67" s="278"/>
      <c r="S67" s="278"/>
    </row>
  </sheetData>
  <sheetProtection algorithmName="SHA-512" hashValue="TeQhg53xsResSBDlhyfyqUQYVJxKCC97io0ngHasl/CsewGnzxCCCbIQMTiafkO6Mp1RUyyjqCqiH9oxYnN+0A==" saltValue="3a+geXYHQxOb/wG/gbnb2g==" spinCount="100000" sheet="1" objects="1" scenarios="1"/>
  <mergeCells count="149">
    <mergeCell ref="B42:B43"/>
    <mergeCell ref="P38:Q38"/>
    <mergeCell ref="P39:Q39"/>
    <mergeCell ref="P40:Q40"/>
    <mergeCell ref="P41:Q41"/>
    <mergeCell ref="P42:Q42"/>
    <mergeCell ref="P44:Q44"/>
    <mergeCell ref="P49:Q49"/>
    <mergeCell ref="R38:S38"/>
    <mergeCell ref="R39:S39"/>
    <mergeCell ref="R40:S40"/>
    <mergeCell ref="R41:S41"/>
    <mergeCell ref="R42:S42"/>
    <mergeCell ref="R49:S49"/>
    <mergeCell ref="P43:Q43"/>
    <mergeCell ref="R43:S43"/>
    <mergeCell ref="R44:S44"/>
    <mergeCell ref="P45:Q45"/>
    <mergeCell ref="P46:Q46"/>
    <mergeCell ref="P47:Q47"/>
    <mergeCell ref="P48:Q48"/>
    <mergeCell ref="I49:L49"/>
    <mergeCell ref="I39:L42"/>
    <mergeCell ref="N38:O38"/>
    <mergeCell ref="N39:O39"/>
    <mergeCell ref="N40:O40"/>
    <mergeCell ref="N41:O41"/>
    <mergeCell ref="N42:O42"/>
    <mergeCell ref="N49:O49"/>
    <mergeCell ref="N43:O43"/>
    <mergeCell ref="N44:O44"/>
    <mergeCell ref="I38:L38"/>
    <mergeCell ref="N45:O45"/>
    <mergeCell ref="I43:L45"/>
    <mergeCell ref="I46:L46"/>
    <mergeCell ref="I47:L47"/>
    <mergeCell ref="I48:L48"/>
    <mergeCell ref="N46:O46"/>
    <mergeCell ref="N47:O47"/>
    <mergeCell ref="N48:O48"/>
    <mergeCell ref="B27:B28"/>
    <mergeCell ref="B29:B30"/>
    <mergeCell ref="P10:Q10"/>
    <mergeCell ref="P12:Q12"/>
    <mergeCell ref="N25:O25"/>
    <mergeCell ref="P25:Q25"/>
    <mergeCell ref="F18:L18"/>
    <mergeCell ref="F19:L19"/>
    <mergeCell ref="F21:L21"/>
    <mergeCell ref="F22:L22"/>
    <mergeCell ref="C27:H27"/>
    <mergeCell ref="C28:H28"/>
    <mergeCell ref="C29:H29"/>
    <mergeCell ref="C30:H30"/>
    <mergeCell ref="I25:L25"/>
    <mergeCell ref="I28:L28"/>
    <mergeCell ref="N22:O22"/>
    <mergeCell ref="B14:B15"/>
    <mergeCell ref="B16:B17"/>
    <mergeCell ref="N14:O14"/>
    <mergeCell ref="P14:Q14"/>
    <mergeCell ref="P22:Q22"/>
    <mergeCell ref="R14:S14"/>
    <mergeCell ref="N15:O15"/>
    <mergeCell ref="P15:Q15"/>
    <mergeCell ref="R15:S15"/>
    <mergeCell ref="F10:L10"/>
    <mergeCell ref="F11:L11"/>
    <mergeCell ref="F12:L12"/>
    <mergeCell ref="F15:L15"/>
    <mergeCell ref="R6:S7"/>
    <mergeCell ref="M3:S3"/>
    <mergeCell ref="A4:B4"/>
    <mergeCell ref="H4:I4"/>
    <mergeCell ref="M4:S4"/>
    <mergeCell ref="N6:O6"/>
    <mergeCell ref="D1:I1"/>
    <mergeCell ref="D2:I2"/>
    <mergeCell ref="R11:S11"/>
    <mergeCell ref="N11:O11"/>
    <mergeCell ref="P11:Q11"/>
    <mergeCell ref="A1:B1"/>
    <mergeCell ref="A2:B2"/>
    <mergeCell ref="A3:B3"/>
    <mergeCell ref="C3:C4"/>
    <mergeCell ref="G3:G4"/>
    <mergeCell ref="H3:I3"/>
    <mergeCell ref="P6:Q7"/>
    <mergeCell ref="P34:Q34"/>
    <mergeCell ref="R34:S34"/>
    <mergeCell ref="I32:L32"/>
    <mergeCell ref="I34:L34"/>
    <mergeCell ref="N8:O8"/>
    <mergeCell ref="P8:Q8"/>
    <mergeCell ref="R8:S8"/>
    <mergeCell ref="N9:O9"/>
    <mergeCell ref="P9:Q9"/>
    <mergeCell ref="R9:S9"/>
    <mergeCell ref="F9:L9"/>
    <mergeCell ref="R10:S10"/>
    <mergeCell ref="R12:S12"/>
    <mergeCell ref="N12:O12"/>
    <mergeCell ref="N10:O10"/>
    <mergeCell ref="N19:O19"/>
    <mergeCell ref="P19:Q19"/>
    <mergeCell ref="R19:S19"/>
    <mergeCell ref="N16:O16"/>
    <mergeCell ref="P16:Q16"/>
    <mergeCell ref="R16:S16"/>
    <mergeCell ref="N18:O18"/>
    <mergeCell ref="P18:Q18"/>
    <mergeCell ref="R18:S18"/>
    <mergeCell ref="R22:S22"/>
    <mergeCell ref="N21:O21"/>
    <mergeCell ref="P21:Q21"/>
    <mergeCell ref="R21:S21"/>
    <mergeCell ref="N31:O31"/>
    <mergeCell ref="P31:Q31"/>
    <mergeCell ref="R31:S31"/>
    <mergeCell ref="N28:O28"/>
    <mergeCell ref="P28:Q28"/>
    <mergeCell ref="R28:S28"/>
    <mergeCell ref="N29:O29"/>
    <mergeCell ref="P29:Q29"/>
    <mergeCell ref="R29:S29"/>
    <mergeCell ref="C42:H42"/>
    <mergeCell ref="I37:L37"/>
    <mergeCell ref="R25:S25"/>
    <mergeCell ref="N27:O27"/>
    <mergeCell ref="P27:Q27"/>
    <mergeCell ref="R27:S27"/>
    <mergeCell ref="B31:B32"/>
    <mergeCell ref="B33:B34"/>
    <mergeCell ref="C31:H31"/>
    <mergeCell ref="I31:L31"/>
    <mergeCell ref="N37:O37"/>
    <mergeCell ref="P37:Q37"/>
    <mergeCell ref="R37:S37"/>
    <mergeCell ref="I35:L35"/>
    <mergeCell ref="C32:H32"/>
    <mergeCell ref="C33:H33"/>
    <mergeCell ref="C34:H34"/>
    <mergeCell ref="N35:O35"/>
    <mergeCell ref="P35:Q35"/>
    <mergeCell ref="R35:S35"/>
    <mergeCell ref="N32:O32"/>
    <mergeCell ref="P32:Q32"/>
    <mergeCell ref="R32:S32"/>
    <mergeCell ref="N34:O3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&amp;LRijksdienst voor Arbeidsvoorziening&amp;ROffice national de l'Emploi</oddFooter>
  </headerFooter>
  <rowBreaks count="1" manualBreakCount="1">
    <brk id="51" max="1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181"/>
  <sheetViews>
    <sheetView showGridLines="0" zoomScaleNormal="100" workbookViewId="0">
      <pane ySplit="4" topLeftCell="A5" activePane="bottomLeft" state="frozen"/>
      <selection activeCell="A2" sqref="A2"/>
      <selection pane="bottomLeft" activeCell="B2" sqref="B2:C2"/>
    </sheetView>
  </sheetViews>
  <sheetFormatPr defaultColWidth="9.109375" defaultRowHeight="14.4" outlineLevelCol="1"/>
  <cols>
    <col min="1" max="1" width="2.88671875" customWidth="1"/>
    <col min="4" max="4" width="6.33203125" customWidth="1"/>
    <col min="5" max="5" width="4.44140625" customWidth="1"/>
    <col min="7" max="10" width="9.109375" customWidth="1"/>
    <col min="11" max="11" width="24.5546875" customWidth="1"/>
    <col min="12" max="16" width="11.44140625" customWidth="1"/>
    <col min="17" max="18" width="1.44140625" customWidth="1"/>
    <col min="19" max="19" width="11.6640625" customWidth="1"/>
    <col min="20" max="20" width="8.88671875" hidden="1" customWidth="1" outlineLevel="1"/>
    <col min="21" max="21" width="11.6640625" customWidth="1" collapsed="1"/>
    <col min="22" max="22" width="0.5546875" customWidth="1"/>
  </cols>
  <sheetData>
    <row r="1" spans="2:29" ht="15" customHeight="1">
      <c r="B1" s="633" t="s">
        <v>33</v>
      </c>
      <c r="C1" s="634"/>
      <c r="D1" s="875" t="s">
        <v>145</v>
      </c>
      <c r="E1" s="876"/>
      <c r="F1" s="876"/>
      <c r="G1" s="876"/>
      <c r="H1" s="876"/>
      <c r="N1" s="871" t="s">
        <v>34</v>
      </c>
      <c r="O1" s="871"/>
      <c r="P1" s="196">
        <f>Basisbedragen!$H$2</f>
        <v>1.7410000000000001</v>
      </c>
    </row>
    <row r="2" spans="2:29" ht="18">
      <c r="B2" s="874">
        <v>45689</v>
      </c>
      <c r="C2" s="874"/>
      <c r="D2" s="876" t="s">
        <v>146</v>
      </c>
      <c r="E2" s="876"/>
      <c r="F2" s="876"/>
      <c r="G2" s="876"/>
      <c r="H2" s="876"/>
    </row>
    <row r="3" spans="2:29" ht="15" thickBot="1"/>
    <row r="4" spans="2:29" s="71" customFormat="1" ht="27" thickBot="1">
      <c r="B4" s="830" t="s">
        <v>149</v>
      </c>
      <c r="C4" s="872"/>
      <c r="D4" s="873"/>
      <c r="E4" s="830" t="s">
        <v>150</v>
      </c>
      <c r="F4" s="872"/>
      <c r="G4" s="872"/>
      <c r="H4" s="872"/>
      <c r="I4" s="872"/>
      <c r="J4" s="872"/>
      <c r="K4" s="873"/>
      <c r="L4" s="327" t="s">
        <v>244</v>
      </c>
      <c r="M4" s="327" t="s">
        <v>202</v>
      </c>
      <c r="N4" s="247" t="s">
        <v>172</v>
      </c>
      <c r="O4" s="247" t="s">
        <v>173</v>
      </c>
      <c r="P4" s="247" t="s">
        <v>174</v>
      </c>
      <c r="Q4" s="226"/>
    </row>
    <row r="5" spans="2:29" ht="15" thickBot="1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234"/>
      <c r="O5" s="234"/>
      <c r="P5" s="234"/>
      <c r="Q5" s="197"/>
    </row>
    <row r="6" spans="2:29" ht="15" thickBot="1">
      <c r="B6" s="855" t="s">
        <v>298</v>
      </c>
      <c r="C6" s="856"/>
      <c r="D6" s="857"/>
      <c r="E6" s="802" t="s">
        <v>153</v>
      </c>
      <c r="F6" s="803"/>
      <c r="G6" s="803"/>
      <c r="H6" s="803"/>
      <c r="I6" s="803"/>
      <c r="J6" s="803"/>
      <c r="K6" s="803"/>
      <c r="L6" s="803"/>
      <c r="M6" s="803"/>
      <c r="N6" s="786"/>
      <c r="O6" s="786"/>
      <c r="P6" s="787"/>
      <c r="Q6" s="195"/>
      <c r="AC6" s="150"/>
    </row>
    <row r="7" spans="2:29">
      <c r="B7" s="235"/>
      <c r="C7" s="236"/>
      <c r="D7" s="237"/>
      <c r="E7" s="796" t="s">
        <v>151</v>
      </c>
      <c r="F7" s="797"/>
      <c r="G7" s="797"/>
      <c r="H7" s="797"/>
      <c r="I7" s="797"/>
      <c r="J7" s="797"/>
      <c r="K7" s="798"/>
      <c r="L7" s="257"/>
      <c r="M7" s="257"/>
      <c r="N7" s="257"/>
      <c r="O7" s="362">
        <f>O8</f>
        <v>2111.89</v>
      </c>
      <c r="P7" s="257"/>
      <c r="Q7" s="195"/>
      <c r="R7" s="150"/>
      <c r="AC7" s="150"/>
    </row>
    <row r="8" spans="2:29" ht="15" thickBot="1">
      <c r="B8" s="238"/>
      <c r="C8" s="239"/>
      <c r="D8" s="240"/>
      <c r="E8" s="811" t="s">
        <v>152</v>
      </c>
      <c r="F8" s="812"/>
      <c r="G8" s="812"/>
      <c r="H8" s="812"/>
      <c r="I8" s="812"/>
      <c r="J8" s="812"/>
      <c r="K8" s="813"/>
      <c r="L8" s="258"/>
      <c r="M8" s="258"/>
      <c r="N8" s="258"/>
      <c r="O8" s="363">
        <f>ROUND(Basisbedragen!$C$7*Basisbedragen!$H$3,2)</f>
        <v>2111.89</v>
      </c>
      <c r="P8" s="258"/>
      <c r="Q8" s="195"/>
      <c r="R8" s="150"/>
      <c r="T8">
        <v>1387.49</v>
      </c>
      <c r="AC8" s="150"/>
    </row>
    <row r="9" spans="2:29" ht="15" thickBot="1">
      <c r="B9" s="231"/>
      <c r="C9" s="231"/>
      <c r="D9" s="231"/>
      <c r="E9" s="233"/>
      <c r="F9" s="233"/>
      <c r="G9" s="233"/>
      <c r="H9" s="233"/>
      <c r="I9" s="233"/>
      <c r="J9" s="233"/>
      <c r="K9" s="233"/>
      <c r="L9" s="233"/>
      <c r="M9" s="233"/>
      <c r="N9" s="248"/>
      <c r="O9" s="248"/>
      <c r="P9" s="248"/>
      <c r="Q9" s="195"/>
      <c r="AC9" s="150"/>
    </row>
    <row r="10" spans="2:29" ht="15" thickBot="1">
      <c r="B10" s="860" t="s">
        <v>528</v>
      </c>
      <c r="C10" s="861"/>
      <c r="D10" s="862"/>
      <c r="E10" s="609" t="s">
        <v>297</v>
      </c>
      <c r="F10" s="610"/>
      <c r="G10" s="610"/>
      <c r="H10" s="610"/>
      <c r="I10" s="610"/>
      <c r="J10" s="610"/>
      <c r="K10" s="610"/>
      <c r="L10" s="610"/>
      <c r="M10" s="610"/>
      <c r="N10" s="786"/>
      <c r="O10" s="786"/>
      <c r="P10" s="787"/>
      <c r="Q10" s="195"/>
      <c r="AC10" s="150"/>
    </row>
    <row r="11" spans="2:29">
      <c r="B11" s="863"/>
      <c r="C11" s="864"/>
      <c r="D11" s="865"/>
      <c r="E11" s="796" t="s">
        <v>151</v>
      </c>
      <c r="F11" s="797"/>
      <c r="G11" s="797"/>
      <c r="H11" s="797"/>
      <c r="I11" s="797"/>
      <c r="J11" s="797"/>
      <c r="K11" s="798"/>
      <c r="L11" s="257"/>
      <c r="M11" s="257"/>
      <c r="N11" s="362">
        <f>ROUND($O$7/26,2)</f>
        <v>81.23</v>
      </c>
      <c r="O11" s="257"/>
      <c r="P11" s="257"/>
      <c r="Q11" s="200"/>
      <c r="R11" s="150"/>
      <c r="AC11" s="150"/>
    </row>
    <row r="12" spans="2:29" ht="15" thickBot="1">
      <c r="B12" s="866"/>
      <c r="C12" s="867"/>
      <c r="D12" s="868"/>
      <c r="E12" s="811" t="s">
        <v>152</v>
      </c>
      <c r="F12" s="812"/>
      <c r="G12" s="812"/>
      <c r="H12" s="812"/>
      <c r="I12" s="812"/>
      <c r="J12" s="812"/>
      <c r="K12" s="813"/>
      <c r="L12" s="258"/>
      <c r="M12" s="258"/>
      <c r="N12" s="363">
        <f>ROUND($O$8/26,2)</f>
        <v>81.23</v>
      </c>
      <c r="O12" s="258"/>
      <c r="P12" s="258"/>
      <c r="Q12" s="195"/>
      <c r="R12" s="150"/>
      <c r="AC12" s="150"/>
    </row>
    <row r="13" spans="2:29" ht="15" thickBot="1">
      <c r="B13" s="393"/>
      <c r="C13" s="393"/>
      <c r="D13" s="393"/>
      <c r="E13" s="399"/>
      <c r="F13" s="399"/>
      <c r="G13" s="399"/>
      <c r="H13" s="399"/>
      <c r="I13" s="399"/>
      <c r="J13" s="399"/>
      <c r="K13" s="399"/>
      <c r="Q13" s="195"/>
      <c r="R13" s="150"/>
      <c r="AC13" s="150"/>
    </row>
    <row r="14" spans="2:29" ht="15" thickBot="1">
      <c r="B14" s="855" t="s">
        <v>308</v>
      </c>
      <c r="C14" s="856"/>
      <c r="D14" s="857"/>
      <c r="E14" s="609" t="s">
        <v>309</v>
      </c>
      <c r="F14" s="610"/>
      <c r="G14" s="610"/>
      <c r="H14" s="610"/>
      <c r="I14" s="610"/>
      <c r="J14" s="610"/>
      <c r="K14" s="610"/>
      <c r="L14" s="610"/>
      <c r="M14" s="610"/>
      <c r="N14" s="786"/>
      <c r="O14" s="786"/>
      <c r="P14" s="791"/>
      <c r="Q14" s="195"/>
      <c r="R14" s="150"/>
      <c r="AC14" s="150"/>
    </row>
    <row r="15" spans="2:29">
      <c r="B15" s="392"/>
      <c r="C15" s="393"/>
      <c r="D15" s="398"/>
      <c r="E15" s="796" t="s">
        <v>310</v>
      </c>
      <c r="F15" s="797"/>
      <c r="G15" s="797"/>
      <c r="H15" s="797"/>
      <c r="I15" s="797"/>
      <c r="J15" s="797"/>
      <c r="K15" s="798"/>
      <c r="L15" s="257"/>
      <c r="M15" s="257"/>
      <c r="N15" s="257"/>
      <c r="O15" s="579">
        <f>ROUND(P15/12,2)</f>
        <v>920</v>
      </c>
      <c r="P15" s="251">
        <f>Basisbedragen!$C$10</f>
        <v>11040</v>
      </c>
      <c r="Q15" s="195"/>
      <c r="R15" s="547"/>
      <c r="S15" s="150"/>
      <c r="AC15" s="150"/>
    </row>
    <row r="16" spans="2:29" ht="15" thickBot="1">
      <c r="B16" s="394"/>
      <c r="C16" s="395"/>
      <c r="D16" s="397"/>
      <c r="E16" s="811" t="s">
        <v>185</v>
      </c>
      <c r="F16" s="812"/>
      <c r="G16" s="812"/>
      <c r="H16" s="812"/>
      <c r="I16" s="812"/>
      <c r="J16" s="812"/>
      <c r="K16" s="813"/>
      <c r="L16" s="258"/>
      <c r="M16" s="258"/>
      <c r="N16" s="258"/>
      <c r="O16" s="252">
        <f>2*O15</f>
        <v>1840</v>
      </c>
      <c r="P16" s="554"/>
      <c r="Q16" s="195"/>
      <c r="R16" s="547"/>
      <c r="S16" s="150"/>
      <c r="AC16" s="150"/>
    </row>
    <row r="17" spans="2:29" ht="15" thickBot="1">
      <c r="B17" s="231"/>
      <c r="C17" s="231"/>
      <c r="D17" s="231"/>
      <c r="E17" s="161"/>
      <c r="F17" s="161"/>
      <c r="G17" s="161"/>
      <c r="H17" s="161"/>
      <c r="I17" s="161"/>
      <c r="J17" s="161"/>
      <c r="K17" s="161"/>
      <c r="L17" s="161"/>
      <c r="M17" s="161"/>
      <c r="N17" s="248"/>
      <c r="O17" s="248"/>
      <c r="P17" s="248"/>
      <c r="Q17" s="195"/>
      <c r="AC17" s="150"/>
    </row>
    <row r="18" spans="2:29" ht="15" thickBot="1">
      <c r="B18" s="827" t="s">
        <v>183</v>
      </c>
      <c r="C18" s="828"/>
      <c r="D18" s="829"/>
      <c r="E18" s="609" t="s">
        <v>184</v>
      </c>
      <c r="F18" s="610"/>
      <c r="G18" s="610"/>
      <c r="H18" s="610"/>
      <c r="I18" s="610"/>
      <c r="J18" s="610"/>
      <c r="K18" s="611"/>
      <c r="L18" s="259"/>
      <c r="M18" s="259"/>
      <c r="N18" s="249">
        <f>ROUND(Basisbedragen!$C$11*Basisbedragen!$H$5,2)</f>
        <v>42.31</v>
      </c>
      <c r="O18" s="259"/>
      <c r="P18" s="249">
        <f>ROUND(Basisbedragen!$C$12*Basisbedragen!$H$5,2)</f>
        <v>1692.51</v>
      </c>
      <c r="Q18" s="195"/>
      <c r="R18" s="150"/>
      <c r="AC18" s="150"/>
    </row>
    <row r="19" spans="2:29" ht="15" thickBot="1">
      <c r="B19" s="400"/>
      <c r="C19" s="400"/>
      <c r="D19" s="400"/>
      <c r="E19" s="161"/>
      <c r="F19" s="161"/>
      <c r="G19" s="161"/>
      <c r="H19" s="161"/>
      <c r="I19" s="161"/>
      <c r="J19" s="161"/>
      <c r="K19" s="161"/>
      <c r="L19" s="161"/>
      <c r="M19" s="161"/>
      <c r="N19" s="248"/>
      <c r="O19" s="248"/>
      <c r="P19" s="248"/>
      <c r="Q19" s="195"/>
      <c r="AC19" s="150"/>
    </row>
    <row r="20" spans="2:29" s="494" customFormat="1" ht="15" thickBot="1">
      <c r="B20" s="827" t="s">
        <v>512</v>
      </c>
      <c r="C20" s="828"/>
      <c r="D20" s="829"/>
      <c r="E20" s="609" t="s">
        <v>513</v>
      </c>
      <c r="F20" s="610"/>
      <c r="G20" s="610"/>
      <c r="H20" s="610"/>
      <c r="I20" s="610"/>
      <c r="J20" s="610"/>
      <c r="K20" s="611"/>
      <c r="L20" s="259"/>
      <c r="M20" s="259"/>
      <c r="N20" s="259"/>
      <c r="O20" s="259"/>
      <c r="P20" s="249">
        <f>ROUND(Basisbedragen!$C$13*$P$1,2)</f>
        <v>2133.2800000000002</v>
      </c>
      <c r="Q20" s="195"/>
      <c r="AC20" s="150"/>
    </row>
    <row r="21" spans="2:29" s="494" customFormat="1" ht="15" thickBot="1">
      <c r="B21" s="495"/>
      <c r="C21" s="495"/>
      <c r="D21" s="495"/>
      <c r="E21" s="493"/>
      <c r="F21" s="493"/>
      <c r="G21" s="493"/>
      <c r="H21" s="493"/>
      <c r="I21" s="493"/>
      <c r="J21" s="493"/>
      <c r="K21" s="493"/>
      <c r="L21" s="493"/>
      <c r="M21" s="493"/>
      <c r="N21" s="248"/>
      <c r="O21" s="248"/>
      <c r="P21" s="248"/>
      <c r="Q21" s="195"/>
      <c r="AC21" s="150"/>
    </row>
    <row r="22" spans="2:29" ht="15" customHeight="1">
      <c r="B22" s="869" t="s">
        <v>527</v>
      </c>
      <c r="C22" s="869"/>
      <c r="D22" s="869"/>
      <c r="E22" s="885" t="s">
        <v>313</v>
      </c>
      <c r="F22" s="885"/>
      <c r="G22" s="885"/>
      <c r="H22" s="885"/>
      <c r="I22" s="885"/>
      <c r="J22" s="885"/>
      <c r="K22" s="885"/>
      <c r="L22" s="800"/>
      <c r="M22" s="800"/>
      <c r="N22" s="858">
        <f>ROUND(O8*3/52,2)</f>
        <v>121.84</v>
      </c>
      <c r="O22" s="800"/>
      <c r="P22" s="800"/>
      <c r="Q22" s="195"/>
      <c r="R22" s="150"/>
      <c r="AB22" s="150"/>
      <c r="AC22" s="150"/>
    </row>
    <row r="23" spans="2:29" s="501" customFormat="1" ht="15" thickBot="1">
      <c r="B23" s="870"/>
      <c r="C23" s="870"/>
      <c r="D23" s="870"/>
      <c r="E23" s="886"/>
      <c r="F23" s="886"/>
      <c r="G23" s="886"/>
      <c r="H23" s="886"/>
      <c r="I23" s="886"/>
      <c r="J23" s="886"/>
      <c r="K23" s="886"/>
      <c r="L23" s="801"/>
      <c r="M23" s="801"/>
      <c r="N23" s="859"/>
      <c r="O23" s="801"/>
      <c r="P23" s="801"/>
      <c r="Q23" s="195"/>
      <c r="R23" s="150"/>
      <c r="AB23" s="150"/>
      <c r="AC23" s="150"/>
    </row>
    <row r="24" spans="2:29" ht="15" thickBot="1">
      <c r="B24" s="231"/>
      <c r="C24" s="231"/>
      <c r="D24" s="231"/>
      <c r="E24" s="161"/>
      <c r="F24" s="161"/>
      <c r="G24" s="161"/>
      <c r="H24" s="161"/>
      <c r="I24" s="161"/>
      <c r="J24" s="161"/>
      <c r="K24" s="161"/>
      <c r="L24" s="161"/>
      <c r="M24" s="161"/>
      <c r="N24" s="248"/>
      <c r="O24" s="248"/>
      <c r="P24" s="248"/>
      <c r="Q24" s="195"/>
      <c r="AC24" s="150"/>
    </row>
    <row r="25" spans="2:29" ht="15" thickBot="1">
      <c r="B25" s="827" t="s">
        <v>292</v>
      </c>
      <c r="C25" s="828"/>
      <c r="D25" s="829"/>
      <c r="E25" s="609" t="s">
        <v>185</v>
      </c>
      <c r="F25" s="610"/>
      <c r="G25" s="610"/>
      <c r="H25" s="610"/>
      <c r="I25" s="610"/>
      <c r="J25" s="610"/>
      <c r="K25" s="611"/>
      <c r="L25" s="259"/>
      <c r="M25" s="259"/>
      <c r="N25" s="259"/>
      <c r="O25" s="249">
        <f>O8</f>
        <v>2111.89</v>
      </c>
      <c r="P25" s="259"/>
      <c r="Q25" s="195"/>
      <c r="R25" s="150"/>
      <c r="AC25" s="150"/>
    </row>
    <row r="26" spans="2:29" ht="15" thickBot="1">
      <c r="B26" s="231"/>
      <c r="C26" s="231"/>
      <c r="D26" s="231"/>
      <c r="E26" s="161"/>
      <c r="F26" s="161"/>
      <c r="G26" s="161"/>
      <c r="H26" s="161"/>
      <c r="I26" s="161"/>
      <c r="J26" s="161"/>
      <c r="K26" s="161"/>
      <c r="L26" s="161"/>
      <c r="M26" s="161"/>
      <c r="N26" s="248"/>
      <c r="O26" s="248"/>
      <c r="P26" s="248"/>
      <c r="Q26" s="195"/>
      <c r="AC26" s="150"/>
    </row>
    <row r="27" spans="2:29" ht="15" thickBot="1">
      <c r="B27" s="855" t="s">
        <v>187</v>
      </c>
      <c r="C27" s="856"/>
      <c r="D27" s="857"/>
      <c r="E27" s="609" t="s">
        <v>186</v>
      </c>
      <c r="F27" s="610"/>
      <c r="G27" s="610"/>
      <c r="H27" s="610"/>
      <c r="I27" s="610"/>
      <c r="J27" s="610"/>
      <c r="K27" s="610"/>
      <c r="L27" s="610"/>
      <c r="M27" s="610"/>
      <c r="N27" s="882"/>
      <c r="O27" s="882"/>
      <c r="P27" s="883"/>
      <c r="Q27" s="195"/>
      <c r="AC27" s="150"/>
    </row>
    <row r="28" spans="2:29">
      <c r="B28" s="241"/>
      <c r="C28" s="150"/>
      <c r="D28" s="242"/>
      <c r="E28" s="877" t="s">
        <v>154</v>
      </c>
      <c r="F28" s="878"/>
      <c r="G28" s="878"/>
      <c r="H28" s="878"/>
      <c r="I28" s="878"/>
      <c r="J28" s="878"/>
      <c r="K28" s="879"/>
      <c r="L28" s="257"/>
      <c r="M28" s="257"/>
      <c r="N28" s="257"/>
      <c r="O28" s="257"/>
      <c r="P28" s="251">
        <f>ROUND(Basisbedragen!$C$14*$P$1,2)</f>
        <v>24273.86</v>
      </c>
      <c r="Q28" s="195"/>
      <c r="R28" s="150"/>
      <c r="S28" s="199"/>
      <c r="T28" s="151"/>
      <c r="U28" s="151"/>
      <c r="V28" s="151"/>
      <c r="W28" s="151"/>
      <c r="X28" s="151"/>
      <c r="Y28" s="202"/>
      <c r="Z28" s="202"/>
      <c r="AA28" s="202"/>
    </row>
    <row r="29" spans="2:29">
      <c r="B29" s="244"/>
      <c r="C29" s="236"/>
      <c r="D29" s="237"/>
      <c r="E29" s="818" t="s">
        <v>155</v>
      </c>
      <c r="F29" s="819"/>
      <c r="G29" s="819"/>
      <c r="H29" s="819"/>
      <c r="I29" s="819"/>
      <c r="J29" s="819"/>
      <c r="K29" s="820"/>
      <c r="L29" s="260"/>
      <c r="M29" s="260"/>
      <c r="N29" s="260"/>
      <c r="O29" s="260"/>
      <c r="P29" s="253">
        <f>ROUND(Basisbedragen!$C$15*$P$1,2)</f>
        <v>1099.25</v>
      </c>
      <c r="Q29" s="195"/>
      <c r="R29" s="150"/>
      <c r="S29" s="199"/>
      <c r="T29" s="151"/>
      <c r="U29" s="151"/>
      <c r="V29" s="151"/>
      <c r="W29" s="151"/>
      <c r="X29" s="151"/>
      <c r="Y29" s="202"/>
      <c r="Z29" s="202"/>
      <c r="AA29" s="202"/>
      <c r="AC29" s="150"/>
    </row>
    <row r="30" spans="2:29" ht="15" thickBot="1">
      <c r="B30" s="243"/>
      <c r="C30" s="239"/>
      <c r="D30" s="240"/>
      <c r="E30" s="838" t="s">
        <v>156</v>
      </c>
      <c r="F30" s="839"/>
      <c r="G30" s="839"/>
      <c r="H30" s="839"/>
      <c r="I30" s="839"/>
      <c r="J30" s="839"/>
      <c r="K30" s="840"/>
      <c r="L30" s="258"/>
      <c r="M30" s="258"/>
      <c r="N30" s="258"/>
      <c r="O30" s="258"/>
      <c r="P30" s="252">
        <f>ROUND(Basisbedragen!$C$16*$P$1,2)*312</f>
        <v>5528.6399999999994</v>
      </c>
      <c r="Q30" s="195"/>
      <c r="R30" s="204"/>
      <c r="S30" s="198"/>
      <c r="T30" s="199"/>
      <c r="U30" s="151"/>
      <c r="V30" s="151"/>
      <c r="W30" s="151"/>
      <c r="X30" s="151"/>
      <c r="Y30" s="205"/>
      <c r="Z30" s="205"/>
      <c r="AA30" s="205"/>
      <c r="AC30" s="150"/>
    </row>
    <row r="31" spans="2:29" ht="15" thickBot="1">
      <c r="B31" s="232"/>
      <c r="C31" s="375"/>
      <c r="D31" s="375"/>
      <c r="E31" s="161"/>
      <c r="F31" s="161"/>
      <c r="G31" s="161"/>
      <c r="H31" s="161"/>
      <c r="I31" s="161"/>
      <c r="J31" s="161"/>
      <c r="K31" s="161"/>
      <c r="L31" s="161"/>
      <c r="M31" s="161"/>
      <c r="N31" s="248"/>
      <c r="O31" s="248"/>
      <c r="P31" s="248"/>
      <c r="Q31" s="195"/>
      <c r="R31" s="206"/>
      <c r="W31" s="372"/>
      <c r="X31" s="372"/>
      <c r="Y31" s="201"/>
      <c r="Z31" s="201"/>
      <c r="AA31" s="202"/>
      <c r="AC31" s="150"/>
    </row>
    <row r="32" spans="2:29" ht="15" customHeight="1" thickBot="1">
      <c r="B32" s="855" t="s">
        <v>293</v>
      </c>
      <c r="C32" s="856"/>
      <c r="D32" s="857"/>
      <c r="E32" s="609" t="s">
        <v>304</v>
      </c>
      <c r="F32" s="610"/>
      <c r="G32" s="610"/>
      <c r="H32" s="610"/>
      <c r="I32" s="610"/>
      <c r="J32" s="610"/>
      <c r="K32" s="610"/>
      <c r="L32" s="610"/>
      <c r="M32" s="610"/>
      <c r="N32" s="786"/>
      <c r="O32" s="786"/>
      <c r="P32" s="787"/>
      <c r="Q32" s="195"/>
      <c r="R32" s="206"/>
      <c r="W32" s="372"/>
      <c r="X32" s="372"/>
      <c r="Y32" s="207"/>
      <c r="Z32" s="207"/>
      <c r="AA32" s="202"/>
      <c r="AC32" s="150"/>
    </row>
    <row r="33" spans="2:29">
      <c r="B33" s="244"/>
      <c r="C33" s="370"/>
      <c r="D33" s="374"/>
      <c r="E33" s="877" t="s">
        <v>305</v>
      </c>
      <c r="F33" s="878"/>
      <c r="G33" s="878"/>
      <c r="H33" s="878"/>
      <c r="I33" s="878"/>
      <c r="J33" s="878"/>
      <c r="K33" s="879"/>
      <c r="L33" s="257"/>
      <c r="M33" s="328">
        <f>ROUND(N33/2,2)</f>
        <v>7.51</v>
      </c>
      <c r="N33" s="251">
        <f>ROUND(Basisbedragen!$C$31*$P$1,2)</f>
        <v>15.01</v>
      </c>
      <c r="O33" s="251">
        <f>N33*26</f>
        <v>390.26</v>
      </c>
      <c r="P33" s="257"/>
      <c r="Q33" s="195"/>
      <c r="R33" s="206"/>
      <c r="S33" s="150"/>
      <c r="W33" s="391"/>
      <c r="X33" s="372"/>
      <c r="Y33" s="207"/>
      <c r="Z33" s="207"/>
      <c r="AA33" s="202"/>
      <c r="AC33" s="150"/>
    </row>
    <row r="34" spans="2:29" ht="15" thickBot="1">
      <c r="B34" s="243"/>
      <c r="C34" s="371"/>
      <c r="D34" s="373"/>
      <c r="E34" s="838" t="s">
        <v>157</v>
      </c>
      <c r="F34" s="839"/>
      <c r="G34" s="839"/>
      <c r="H34" s="839"/>
      <c r="I34" s="839"/>
      <c r="J34" s="839"/>
      <c r="K34" s="884"/>
      <c r="L34" s="349"/>
      <c r="M34" s="329">
        <f>ROUND(N34/2,2)</f>
        <v>6.1</v>
      </c>
      <c r="N34" s="369">
        <f>ROUND(Basisbedragen!$C$32*$P$1,2)</f>
        <v>12.19</v>
      </c>
      <c r="O34" s="369">
        <f>N34*26</f>
        <v>316.94</v>
      </c>
      <c r="P34" s="349"/>
      <c r="Q34" s="195"/>
      <c r="R34" s="150"/>
      <c r="S34" s="150"/>
      <c r="W34" s="391"/>
      <c r="X34" s="372"/>
      <c r="Y34" s="208"/>
      <c r="Z34" s="209"/>
      <c r="AA34" s="210"/>
      <c r="AC34" s="150"/>
    </row>
    <row r="35" spans="2:29" ht="15" thickBot="1">
      <c r="B35" s="245"/>
      <c r="C35" s="393"/>
      <c r="D35" s="393"/>
      <c r="E35" s="376"/>
      <c r="F35" s="376"/>
      <c r="G35" s="376"/>
      <c r="H35" s="376"/>
      <c r="I35" s="376"/>
      <c r="J35" s="376"/>
      <c r="K35" s="376"/>
      <c r="Q35" s="195"/>
      <c r="R35" s="150"/>
      <c r="S35" s="150"/>
      <c r="W35" s="396"/>
      <c r="X35" s="396"/>
      <c r="Y35" s="208"/>
      <c r="Z35" s="209"/>
      <c r="AA35" s="210"/>
      <c r="AC35" s="150"/>
    </row>
    <row r="36" spans="2:29" ht="15" thickBot="1">
      <c r="B36" s="805" t="s">
        <v>147</v>
      </c>
      <c r="C36" s="806"/>
      <c r="D36" s="806"/>
      <c r="E36" s="609" t="s">
        <v>212</v>
      </c>
      <c r="F36" s="610"/>
      <c r="G36" s="610"/>
      <c r="H36" s="610"/>
      <c r="I36" s="610"/>
      <c r="J36" s="610"/>
      <c r="K36" s="610"/>
      <c r="L36" s="610"/>
      <c r="M36" s="610"/>
      <c r="N36" s="786"/>
      <c r="O36" s="786"/>
      <c r="P36" s="787"/>
      <c r="Q36" s="195"/>
      <c r="R36" s="150"/>
      <c r="S36" s="150"/>
      <c r="T36" s="150"/>
      <c r="U36" s="150"/>
      <c r="V36" s="150"/>
      <c r="W36" s="150"/>
      <c r="X36" s="150"/>
      <c r="Y36" s="211"/>
      <c r="Z36" s="211"/>
      <c r="AA36" s="211"/>
    </row>
    <row r="37" spans="2:29">
      <c r="B37" s="846" t="s">
        <v>188</v>
      </c>
      <c r="C37" s="847"/>
      <c r="D37" s="847"/>
      <c r="E37" s="877" t="s">
        <v>169</v>
      </c>
      <c r="F37" s="878"/>
      <c r="G37" s="878"/>
      <c r="H37" s="878"/>
      <c r="I37" s="878"/>
      <c r="J37" s="878"/>
      <c r="K37" s="879"/>
      <c r="L37" s="257"/>
      <c r="M37" s="257"/>
      <c r="N37" s="257"/>
      <c r="O37" s="251">
        <f>ROUND(Basisbedragen!$C$17*$P$1,2)</f>
        <v>990.82</v>
      </c>
      <c r="P37" s="257"/>
      <c r="Q37" s="195"/>
      <c r="R37" s="150"/>
      <c r="S37" s="150"/>
      <c r="T37" s="150"/>
      <c r="U37" s="150"/>
      <c r="V37" s="150"/>
      <c r="W37" s="150"/>
      <c r="X37" s="150"/>
      <c r="Y37" s="211"/>
      <c r="Z37" s="211"/>
      <c r="AA37" s="211"/>
      <c r="AB37" s="150"/>
      <c r="AC37" s="150"/>
    </row>
    <row r="38" spans="2:29">
      <c r="B38" s="846" t="s">
        <v>291</v>
      </c>
      <c r="C38" s="847"/>
      <c r="D38" s="847"/>
      <c r="E38" s="818" t="s">
        <v>163</v>
      </c>
      <c r="F38" s="819"/>
      <c r="G38" s="819"/>
      <c r="H38" s="819"/>
      <c r="I38" s="819"/>
      <c r="J38" s="819"/>
      <c r="K38" s="820"/>
      <c r="L38" s="260"/>
      <c r="M38" s="260"/>
      <c r="N38" s="260"/>
      <c r="O38" s="253">
        <f>ROUND(Basisbedragen!$C$18*$P$1,2)</f>
        <v>530.6</v>
      </c>
      <c r="P38" s="260"/>
      <c r="Q38" s="195"/>
      <c r="R38" s="204"/>
      <c r="S38" s="212"/>
      <c r="T38" s="853"/>
      <c r="U38" s="854"/>
      <c r="V38" s="854"/>
      <c r="W38" s="854"/>
      <c r="X38" s="854"/>
      <c r="Y38" s="186"/>
      <c r="Z38" s="202"/>
      <c r="AA38" s="202"/>
      <c r="AB38" s="150"/>
    </row>
    <row r="39" spans="2:29">
      <c r="B39" s="846" t="s">
        <v>189</v>
      </c>
      <c r="C39" s="847"/>
      <c r="D39" s="847"/>
      <c r="E39" s="818" t="s">
        <v>164</v>
      </c>
      <c r="F39" s="819"/>
      <c r="G39" s="819"/>
      <c r="H39" s="819"/>
      <c r="I39" s="819"/>
      <c r="J39" s="819"/>
      <c r="K39" s="820"/>
      <c r="L39" s="260"/>
      <c r="M39" s="260"/>
      <c r="N39" s="260"/>
      <c r="O39" s="253">
        <f>ROUND(Basisbedragen!$C$19*$P$1,2)</f>
        <v>823.46</v>
      </c>
      <c r="P39" s="260"/>
      <c r="Q39" s="195"/>
      <c r="R39" s="204"/>
      <c r="S39" s="212"/>
      <c r="T39" s="853"/>
      <c r="U39" s="854"/>
      <c r="V39" s="854"/>
      <c r="W39" s="854"/>
      <c r="X39" s="854"/>
      <c r="Y39" s="202"/>
      <c r="Z39" s="213"/>
      <c r="AA39" s="202"/>
    </row>
    <row r="40" spans="2:29">
      <c r="B40" s="846" t="s">
        <v>190</v>
      </c>
      <c r="C40" s="847"/>
      <c r="D40" s="847"/>
      <c r="E40" s="818" t="s">
        <v>200</v>
      </c>
      <c r="F40" s="819"/>
      <c r="G40" s="819"/>
      <c r="H40" s="819"/>
      <c r="I40" s="819"/>
      <c r="J40" s="819"/>
      <c r="K40" s="820"/>
      <c r="L40" s="260"/>
      <c r="M40" s="260"/>
      <c r="N40" s="260"/>
      <c r="O40" s="253">
        <f>ROUND(Basisbedragen!$C$20*$P$1,2)</f>
        <v>715.45</v>
      </c>
      <c r="P40" s="260"/>
      <c r="Q40" s="195"/>
      <c r="R40" s="150"/>
      <c r="S40" s="150"/>
      <c r="T40" s="150"/>
      <c r="U40" s="150"/>
      <c r="V40" s="150"/>
      <c r="W40" s="150"/>
      <c r="X40" s="150"/>
      <c r="Y40" s="150"/>
      <c r="Z40" s="150"/>
      <c r="AA40" s="150"/>
    </row>
    <row r="41" spans="2:29">
      <c r="B41" s="846" t="s">
        <v>191</v>
      </c>
      <c r="C41" s="847"/>
      <c r="D41" s="847"/>
      <c r="E41" s="818" t="s">
        <v>165</v>
      </c>
      <c r="F41" s="819"/>
      <c r="G41" s="819"/>
      <c r="H41" s="819"/>
      <c r="I41" s="819"/>
      <c r="J41" s="819"/>
      <c r="K41" s="820"/>
      <c r="L41" s="260"/>
      <c r="M41" s="260"/>
      <c r="N41" s="260"/>
      <c r="O41" s="253">
        <f>'W '!$P$21*26</f>
        <v>634.14</v>
      </c>
      <c r="P41" s="260"/>
      <c r="Q41" s="195"/>
      <c r="R41" s="204"/>
      <c r="S41" s="198"/>
      <c r="T41" s="853"/>
      <c r="U41" s="854"/>
      <c r="V41" s="854"/>
      <c r="W41" s="854"/>
      <c r="X41" s="854"/>
      <c r="Y41" s="202"/>
      <c r="Z41" s="202"/>
      <c r="AA41" s="201"/>
      <c r="AC41" s="150"/>
    </row>
    <row r="42" spans="2:29">
      <c r="B42" s="846" t="s">
        <v>192</v>
      </c>
      <c r="C42" s="847"/>
      <c r="D42" s="847"/>
      <c r="E42" s="818" t="s">
        <v>166</v>
      </c>
      <c r="F42" s="819"/>
      <c r="G42" s="819"/>
      <c r="H42" s="819"/>
      <c r="I42" s="819"/>
      <c r="J42" s="819"/>
      <c r="K42" s="820"/>
      <c r="L42" s="260"/>
      <c r="M42" s="260"/>
      <c r="N42" s="260"/>
      <c r="O42" s="253">
        <f>ROUND(Basisbedragen!$C$21*$P$1,2)</f>
        <v>2773.83</v>
      </c>
      <c r="P42" s="260"/>
      <c r="Q42" s="195"/>
      <c r="R42" s="214"/>
      <c r="S42" s="215"/>
      <c r="T42" s="215"/>
      <c r="U42" s="215"/>
      <c r="V42" s="215"/>
      <c r="W42" s="215"/>
      <c r="X42" s="215"/>
      <c r="Y42" s="216"/>
      <c r="Z42" s="150"/>
      <c r="AA42" s="150"/>
      <c r="AB42" s="150"/>
      <c r="AC42" s="150"/>
    </row>
    <row r="43" spans="2:29">
      <c r="B43" s="846" t="s">
        <v>193</v>
      </c>
      <c r="C43" s="847"/>
      <c r="D43" s="847"/>
      <c r="E43" s="818" t="s">
        <v>167</v>
      </c>
      <c r="F43" s="819"/>
      <c r="G43" s="819"/>
      <c r="H43" s="819"/>
      <c r="I43" s="819"/>
      <c r="J43" s="819"/>
      <c r="K43" s="820"/>
      <c r="L43" s="260"/>
      <c r="M43" s="260"/>
      <c r="N43" s="260"/>
      <c r="O43" s="253">
        <f>ROUND(Basisbedragen!$C$22*$P$1,2)</f>
        <v>1710.11</v>
      </c>
      <c r="P43" s="260"/>
      <c r="Q43" s="195"/>
      <c r="R43" s="217"/>
      <c r="S43" s="217"/>
      <c r="T43" s="217"/>
      <c r="U43" s="217"/>
      <c r="V43" s="217"/>
      <c r="W43" s="217"/>
      <c r="X43" s="217"/>
      <c r="Y43" s="203"/>
      <c r="Z43" s="218"/>
      <c r="AA43" s="218"/>
      <c r="AB43" s="150"/>
      <c r="AC43" s="150"/>
    </row>
    <row r="44" spans="2:29" ht="15" thickBot="1">
      <c r="B44" s="843" t="s">
        <v>193</v>
      </c>
      <c r="C44" s="844"/>
      <c r="D44" s="844"/>
      <c r="E44" s="838" t="s">
        <v>168</v>
      </c>
      <c r="F44" s="839"/>
      <c r="G44" s="839"/>
      <c r="H44" s="839"/>
      <c r="I44" s="839"/>
      <c r="J44" s="839"/>
      <c r="K44" s="840"/>
      <c r="L44" s="258"/>
      <c r="M44" s="258"/>
      <c r="N44" s="258"/>
      <c r="O44" s="252">
        <f>O42</f>
        <v>2773.83</v>
      </c>
      <c r="P44" s="258"/>
      <c r="Q44" s="195"/>
      <c r="R44" s="219"/>
      <c r="S44" s="220"/>
      <c r="T44" s="221"/>
      <c r="U44" s="221"/>
      <c r="V44" s="221"/>
      <c r="W44" s="221"/>
      <c r="X44" s="221"/>
      <c r="Y44" s="202"/>
      <c r="Z44" s="201"/>
      <c r="AA44" s="201"/>
      <c r="AB44" s="150"/>
      <c r="AC44" s="150"/>
    </row>
    <row r="45" spans="2:29" ht="15" thickBot="1">
      <c r="B45" s="231"/>
      <c r="C45" s="231"/>
      <c r="D45" s="231"/>
      <c r="E45" s="161"/>
      <c r="F45" s="161"/>
      <c r="G45" s="161"/>
      <c r="H45" s="161"/>
      <c r="I45" s="161"/>
      <c r="J45" s="161"/>
      <c r="K45" s="161"/>
      <c r="L45" s="161"/>
      <c r="M45" s="161"/>
      <c r="N45" s="248"/>
      <c r="O45" s="248"/>
      <c r="P45" s="248"/>
      <c r="Q45" s="195"/>
      <c r="R45" s="219"/>
      <c r="S45" s="220"/>
      <c r="T45" s="220"/>
      <c r="U45" s="220"/>
      <c r="V45" s="220"/>
      <c r="W45" s="220"/>
      <c r="X45" s="220"/>
      <c r="Y45" s="202"/>
      <c r="Z45" s="201"/>
      <c r="AA45" s="222"/>
      <c r="AB45" s="150"/>
      <c r="AC45" s="150"/>
    </row>
    <row r="46" spans="2:29">
      <c r="B46" s="805" t="s">
        <v>194</v>
      </c>
      <c r="C46" s="806"/>
      <c r="D46" s="807"/>
      <c r="E46" s="821" t="s">
        <v>253</v>
      </c>
      <c r="F46" s="822"/>
      <c r="G46" s="822"/>
      <c r="H46" s="822"/>
      <c r="I46" s="822"/>
      <c r="J46" s="822"/>
      <c r="K46" s="823"/>
      <c r="L46" s="257"/>
      <c r="M46" s="257"/>
      <c r="N46" s="254">
        <f>ROUND(Basisbedragen!$C$28*$P$1,4)</f>
        <v>110.6717</v>
      </c>
      <c r="O46" s="251">
        <f t="shared" ref="O46:O51" si="0">ROUND(N46*26,2)</f>
        <v>2877.46</v>
      </c>
      <c r="P46" s="257"/>
      <c r="Q46" s="195"/>
      <c r="R46" s="150"/>
      <c r="S46" s="150"/>
      <c r="T46" s="220"/>
      <c r="U46" s="220"/>
      <c r="V46" s="220"/>
      <c r="W46" s="220"/>
      <c r="X46" s="220"/>
      <c r="Y46" s="202"/>
      <c r="Z46" s="201"/>
      <c r="AA46" s="222"/>
      <c r="AB46" s="150"/>
      <c r="AC46" s="150"/>
    </row>
    <row r="47" spans="2:29">
      <c r="B47" s="241"/>
      <c r="C47" s="245"/>
      <c r="D47" s="335"/>
      <c r="E47" s="824" t="s">
        <v>158</v>
      </c>
      <c r="F47" s="825"/>
      <c r="G47" s="825"/>
      <c r="H47" s="825"/>
      <c r="I47" s="825"/>
      <c r="J47" s="825"/>
      <c r="K47" s="826"/>
      <c r="L47" s="260"/>
      <c r="M47" s="260"/>
      <c r="N47" s="255">
        <f>ROUND(Basisbedragen!$C$27*$P$1,4)</f>
        <v>112.4759</v>
      </c>
      <c r="O47" s="253">
        <f t="shared" si="0"/>
        <v>2924.37</v>
      </c>
      <c r="P47" s="260"/>
      <c r="Q47" s="195"/>
      <c r="R47" s="220"/>
      <c r="S47" s="150"/>
      <c r="T47" s="220"/>
      <c r="U47" s="220"/>
      <c r="V47" s="220"/>
      <c r="W47" s="220"/>
      <c r="X47" s="220"/>
      <c r="Y47" s="202"/>
      <c r="Z47" s="201"/>
      <c r="AA47" s="201"/>
    </row>
    <row r="48" spans="2:29">
      <c r="B48" s="235"/>
      <c r="C48" s="245"/>
      <c r="D48" s="237"/>
      <c r="E48" s="824" t="s">
        <v>159</v>
      </c>
      <c r="F48" s="825"/>
      <c r="G48" s="825"/>
      <c r="H48" s="825"/>
      <c r="I48" s="825"/>
      <c r="J48" s="825"/>
      <c r="K48" s="826"/>
      <c r="L48" s="260"/>
      <c r="M48" s="260"/>
      <c r="N48" s="255">
        <f>ROUND(Basisbedragen!$C$26*$P$1,4)</f>
        <v>113.55880000000001</v>
      </c>
      <c r="O48" s="253">
        <f t="shared" si="0"/>
        <v>2952.53</v>
      </c>
      <c r="P48" s="260"/>
      <c r="Q48" s="195"/>
      <c r="R48" s="220"/>
      <c r="S48" s="150"/>
      <c r="T48" s="151"/>
      <c r="U48" s="151"/>
      <c r="V48" s="151"/>
      <c r="W48" s="151"/>
      <c r="X48" s="151"/>
      <c r="Y48" s="880"/>
      <c r="Z48" s="881"/>
      <c r="AA48" s="223"/>
    </row>
    <row r="49" spans="2:25">
      <c r="B49" s="235"/>
      <c r="C49" s="245"/>
      <c r="D49" s="237"/>
      <c r="E49" s="824" t="s">
        <v>160</v>
      </c>
      <c r="F49" s="825"/>
      <c r="G49" s="825"/>
      <c r="H49" s="825"/>
      <c r="I49" s="825"/>
      <c r="J49" s="825"/>
      <c r="K49" s="826"/>
      <c r="L49" s="260"/>
      <c r="M49" s="260"/>
      <c r="N49" s="255">
        <f>ROUND(Basisbedragen!$C$23*$P$1,4)</f>
        <v>114.9781</v>
      </c>
      <c r="O49" s="253">
        <f t="shared" si="0"/>
        <v>2989.43</v>
      </c>
      <c r="P49" s="260"/>
      <c r="R49" s="548"/>
      <c r="S49" s="150"/>
    </row>
    <row r="50" spans="2:25">
      <c r="B50" s="235"/>
      <c r="C50" s="245"/>
      <c r="D50" s="237"/>
      <c r="E50" s="824" t="s">
        <v>161</v>
      </c>
      <c r="F50" s="825"/>
      <c r="G50" s="825"/>
      <c r="H50" s="825"/>
      <c r="I50" s="825"/>
      <c r="J50" s="825"/>
      <c r="K50" s="826"/>
      <c r="L50" s="260"/>
      <c r="M50" s="260"/>
      <c r="N50" s="255">
        <f>ROUND(Basisbedragen!$C$24*$P$1,4)</f>
        <v>123.0401</v>
      </c>
      <c r="O50" s="253">
        <f t="shared" si="0"/>
        <v>3199.04</v>
      </c>
      <c r="P50" s="260"/>
      <c r="R50" s="150"/>
      <c r="S50" s="150"/>
    </row>
    <row r="51" spans="2:25" ht="15" thickBot="1">
      <c r="B51" s="238"/>
      <c r="C51" s="246"/>
      <c r="D51" s="240"/>
      <c r="E51" s="783" t="s">
        <v>162</v>
      </c>
      <c r="F51" s="784"/>
      <c r="G51" s="784"/>
      <c r="H51" s="784"/>
      <c r="I51" s="784"/>
      <c r="J51" s="784"/>
      <c r="K51" s="785"/>
      <c r="L51" s="258"/>
      <c r="M51" s="258"/>
      <c r="N51" s="256">
        <f>ROUND(Basisbedragen!$C$25*$P$1,4)</f>
        <v>132.01480000000001</v>
      </c>
      <c r="O51" s="252">
        <f t="shared" si="0"/>
        <v>3432.38</v>
      </c>
      <c r="P51" s="258"/>
      <c r="R51" s="150"/>
      <c r="S51" s="150"/>
      <c r="Y51" s="224"/>
    </row>
    <row r="52" spans="2:25" ht="15" thickBot="1">
      <c r="B52" s="231"/>
      <c r="C52" s="231"/>
      <c r="D52" s="231"/>
      <c r="E52" s="161"/>
      <c r="F52" s="161"/>
      <c r="G52" s="161"/>
      <c r="H52" s="161"/>
      <c r="I52" s="161"/>
      <c r="J52" s="161"/>
      <c r="K52" s="161"/>
      <c r="L52" s="161"/>
      <c r="M52" s="161"/>
      <c r="N52" s="248"/>
      <c r="O52" s="248"/>
      <c r="P52" s="248"/>
      <c r="R52" s="150"/>
    </row>
    <row r="53" spans="2:25" ht="15" thickBot="1">
      <c r="B53" s="780" t="s">
        <v>294</v>
      </c>
      <c r="C53" s="781"/>
      <c r="D53" s="782"/>
      <c r="E53" s="609" t="s">
        <v>264</v>
      </c>
      <c r="F53" s="610"/>
      <c r="G53" s="610"/>
      <c r="H53" s="610"/>
      <c r="I53" s="610"/>
      <c r="J53" s="610"/>
      <c r="K53" s="611"/>
      <c r="L53" s="259"/>
      <c r="M53" s="259"/>
      <c r="N53" s="307">
        <f>MAX(B!H:H)</f>
        <v>45.99</v>
      </c>
      <c r="O53" s="259"/>
      <c r="P53" s="259"/>
      <c r="R53" s="150"/>
    </row>
    <row r="54" spans="2:25" ht="15" thickBot="1">
      <c r="B54" s="454"/>
      <c r="C54" s="454"/>
      <c r="D54" s="454"/>
      <c r="E54" s="455"/>
      <c r="F54" s="455"/>
      <c r="G54" s="455"/>
      <c r="H54" s="455"/>
      <c r="I54" s="455"/>
      <c r="J54" s="455"/>
      <c r="K54" s="455"/>
      <c r="R54" s="150"/>
    </row>
    <row r="55" spans="2:25" ht="15" thickBot="1">
      <c r="B55" s="780" t="s">
        <v>295</v>
      </c>
      <c r="C55" s="781"/>
      <c r="D55" s="782"/>
      <c r="E55" s="609" t="s">
        <v>252</v>
      </c>
      <c r="F55" s="610"/>
      <c r="G55" s="610"/>
      <c r="H55" s="610"/>
      <c r="I55" s="610"/>
      <c r="J55" s="610"/>
      <c r="K55" s="611"/>
      <c r="L55" s="259"/>
      <c r="M55" s="259"/>
      <c r="N55" s="249">
        <f>ROUND(Basisbedragen!$C$56*$P$1,2)</f>
        <v>6.16</v>
      </c>
      <c r="O55" s="259"/>
      <c r="P55" s="259"/>
    </row>
    <row r="56" spans="2:25" ht="15" thickBot="1">
      <c r="B56" s="334"/>
      <c r="C56" s="334"/>
      <c r="D56" s="334"/>
      <c r="E56" s="161"/>
      <c r="F56" s="161"/>
      <c r="G56" s="161"/>
      <c r="H56" s="161"/>
      <c r="I56" s="161"/>
      <c r="J56" s="161"/>
      <c r="K56" s="161"/>
      <c r="L56" s="161"/>
      <c r="M56" s="161"/>
      <c r="N56" s="248"/>
      <c r="O56" s="248"/>
      <c r="P56" s="248"/>
    </row>
    <row r="57" spans="2:25">
      <c r="B57" s="805" t="s">
        <v>195</v>
      </c>
      <c r="C57" s="806"/>
      <c r="D57" s="807"/>
      <c r="E57" s="788" t="s">
        <v>170</v>
      </c>
      <c r="F57" s="789"/>
      <c r="G57" s="789"/>
      <c r="H57" s="789"/>
      <c r="I57" s="789"/>
      <c r="J57" s="789"/>
      <c r="K57" s="841"/>
      <c r="L57" s="800"/>
      <c r="M57" s="800"/>
      <c r="N57" s="800"/>
      <c r="O57" s="858">
        <f>ROUND(Basisbedragen!$C$62*$P$1,2)</f>
        <v>261.14999999999998</v>
      </c>
      <c r="P57" s="800"/>
      <c r="Y57" s="225"/>
    </row>
    <row r="58" spans="2:25" ht="15" thickBot="1">
      <c r="B58" s="843" t="s">
        <v>196</v>
      </c>
      <c r="C58" s="844"/>
      <c r="D58" s="845"/>
      <c r="E58" s="792"/>
      <c r="F58" s="793"/>
      <c r="G58" s="793"/>
      <c r="H58" s="793"/>
      <c r="I58" s="793"/>
      <c r="J58" s="793"/>
      <c r="K58" s="842"/>
      <c r="L58" s="801"/>
      <c r="M58" s="801"/>
      <c r="N58" s="801"/>
      <c r="O58" s="859"/>
      <c r="P58" s="801"/>
    </row>
    <row r="59" spans="2:25" ht="15" thickBot="1">
      <c r="B59" s="231"/>
      <c r="C59" s="231"/>
      <c r="D59" s="231"/>
      <c r="E59" s="161"/>
      <c r="F59" s="161"/>
      <c r="G59" s="161"/>
      <c r="H59" s="161"/>
      <c r="I59" s="161"/>
      <c r="J59" s="161"/>
      <c r="K59" s="161"/>
      <c r="L59" s="161"/>
      <c r="M59" s="161"/>
      <c r="N59" s="248"/>
      <c r="O59" s="248"/>
      <c r="P59" s="248"/>
    </row>
    <row r="60" spans="2:25">
      <c r="B60" s="805" t="s">
        <v>197</v>
      </c>
      <c r="C60" s="806"/>
      <c r="D60" s="807"/>
      <c r="E60" s="788" t="s">
        <v>171</v>
      </c>
      <c r="F60" s="789"/>
      <c r="G60" s="789"/>
      <c r="H60" s="789"/>
      <c r="I60" s="789"/>
      <c r="J60" s="789"/>
      <c r="K60" s="789"/>
      <c r="L60" s="789"/>
      <c r="M60" s="789"/>
      <c r="N60" s="790"/>
      <c r="O60" s="790"/>
      <c r="P60" s="791"/>
    </row>
    <row r="61" spans="2:25" ht="15" thickBot="1">
      <c r="B61" s="846" t="s">
        <v>198</v>
      </c>
      <c r="C61" s="847"/>
      <c r="D61" s="848"/>
      <c r="E61" s="792"/>
      <c r="F61" s="793"/>
      <c r="G61" s="793"/>
      <c r="H61" s="793"/>
      <c r="I61" s="793"/>
      <c r="J61" s="793"/>
      <c r="K61" s="793"/>
      <c r="L61" s="793"/>
      <c r="M61" s="793"/>
      <c r="N61" s="794"/>
      <c r="O61" s="794"/>
      <c r="P61" s="795"/>
    </row>
    <row r="62" spans="2:25">
      <c r="B62" s="244"/>
      <c r="C62" s="236"/>
      <c r="D62" s="237"/>
      <c r="E62" s="877" t="s">
        <v>175</v>
      </c>
      <c r="F62" s="878"/>
      <c r="G62" s="878"/>
      <c r="H62" s="878"/>
      <c r="I62" s="878"/>
      <c r="J62" s="878"/>
      <c r="K62" s="879"/>
      <c r="L62" s="257"/>
      <c r="M62" s="257"/>
      <c r="N62" s="257"/>
      <c r="O62" s="251">
        <f>ROUND(Basisbedragen!$C$63*$P$1,2)</f>
        <v>261.14999999999998</v>
      </c>
      <c r="P62" s="257"/>
    </row>
    <row r="63" spans="2:25">
      <c r="B63" s="244"/>
      <c r="C63" s="236"/>
      <c r="D63" s="237"/>
      <c r="E63" s="818" t="s">
        <v>176</v>
      </c>
      <c r="F63" s="819"/>
      <c r="G63" s="819"/>
      <c r="H63" s="819"/>
      <c r="I63" s="819"/>
      <c r="J63" s="819"/>
      <c r="K63" s="820"/>
      <c r="L63" s="260"/>
      <c r="M63" s="260"/>
      <c r="N63" s="260"/>
      <c r="O63" s="253">
        <f>ROUND(Basisbedragen!$C$64*$P$1,2)</f>
        <v>174.1</v>
      </c>
      <c r="P63" s="260"/>
    </row>
    <row r="64" spans="2:25" ht="15" thickBot="1">
      <c r="B64" s="243"/>
      <c r="C64" s="239"/>
      <c r="D64" s="240"/>
      <c r="E64" s="838" t="s">
        <v>177</v>
      </c>
      <c r="F64" s="839"/>
      <c r="G64" s="839"/>
      <c r="H64" s="839"/>
      <c r="I64" s="839"/>
      <c r="J64" s="839"/>
      <c r="K64" s="840"/>
      <c r="L64" s="258"/>
      <c r="M64" s="258"/>
      <c r="N64" s="258"/>
      <c r="O64" s="252">
        <f>ROUND(Basisbedragen!$C$65*$P$1,2)</f>
        <v>87.05</v>
      </c>
      <c r="P64" s="258"/>
    </row>
    <row r="65" spans="2:19" ht="15" thickBot="1">
      <c r="B65" s="231"/>
      <c r="C65" s="231"/>
      <c r="D65" s="231"/>
      <c r="E65" s="161"/>
      <c r="F65" s="161"/>
      <c r="G65" s="161"/>
      <c r="H65" s="161"/>
      <c r="I65" s="161"/>
      <c r="J65" s="161"/>
      <c r="K65" s="161"/>
      <c r="L65" s="161"/>
      <c r="M65" s="161"/>
      <c r="N65" s="248"/>
      <c r="O65" s="248"/>
      <c r="P65" s="248"/>
    </row>
    <row r="66" spans="2:19" ht="15" thickBot="1">
      <c r="B66" s="780" t="s">
        <v>296</v>
      </c>
      <c r="C66" s="781"/>
      <c r="D66" s="782"/>
      <c r="E66" s="609" t="s">
        <v>201</v>
      </c>
      <c r="F66" s="610"/>
      <c r="G66" s="610"/>
      <c r="H66" s="610"/>
      <c r="I66" s="610"/>
      <c r="J66" s="610"/>
      <c r="K66" s="611"/>
      <c r="L66" s="326"/>
      <c r="M66" s="326"/>
      <c r="N66" s="259"/>
      <c r="O66" s="249">
        <f>ROUND(Basisbedragen!$C$66*$P$1,2)</f>
        <v>174.1</v>
      </c>
      <c r="P66" s="259"/>
    </row>
    <row r="67" spans="2:19" ht="15" thickBot="1">
      <c r="B67" s="231"/>
      <c r="C67" s="231"/>
      <c r="D67" s="231"/>
      <c r="E67" s="161"/>
      <c r="F67" s="161"/>
      <c r="G67" s="161"/>
      <c r="H67" s="161"/>
      <c r="I67" s="161"/>
      <c r="J67" s="161"/>
      <c r="K67" s="161"/>
      <c r="L67" s="161"/>
      <c r="M67" s="161"/>
      <c r="N67" s="248"/>
      <c r="O67" s="248"/>
      <c r="P67" s="250"/>
    </row>
    <row r="68" spans="2:19" ht="15" thickBot="1">
      <c r="B68" s="849" t="s">
        <v>199</v>
      </c>
      <c r="C68" s="850"/>
      <c r="D68" s="851"/>
      <c r="E68" s="799" t="s">
        <v>307</v>
      </c>
      <c r="F68" s="799"/>
      <c r="G68" s="799"/>
      <c r="H68" s="799"/>
      <c r="I68" s="799"/>
      <c r="J68" s="799"/>
      <c r="K68" s="799"/>
      <c r="L68" s="259"/>
      <c r="M68" s="259"/>
      <c r="N68" s="249">
        <f>ROUND(Basisbedragen!$C$67*$P$1,2)</f>
        <v>17.72</v>
      </c>
      <c r="O68" s="249">
        <f>N68*26</f>
        <v>460.71999999999997</v>
      </c>
      <c r="P68" s="249">
        <f>N68*312</f>
        <v>5528.6399999999994</v>
      </c>
    </row>
    <row r="69" spans="2:19" ht="15" thickBot="1">
      <c r="B69" s="231"/>
      <c r="C69" s="231"/>
      <c r="D69" s="231"/>
      <c r="E69" s="161"/>
      <c r="F69" s="161"/>
      <c r="G69" s="161"/>
      <c r="H69" s="161"/>
      <c r="I69" s="161"/>
      <c r="J69" s="161"/>
      <c r="K69" s="161"/>
      <c r="L69" s="161"/>
      <c r="M69" s="161"/>
      <c r="N69" s="248"/>
      <c r="O69" s="248"/>
      <c r="P69" s="248"/>
    </row>
    <row r="70" spans="2:19" ht="15" thickBot="1">
      <c r="B70" s="805" t="s">
        <v>148</v>
      </c>
      <c r="C70" s="806"/>
      <c r="D70" s="807"/>
      <c r="E70" s="609" t="s">
        <v>213</v>
      </c>
      <c r="F70" s="610"/>
      <c r="G70" s="610"/>
      <c r="H70" s="610"/>
      <c r="I70" s="610"/>
      <c r="J70" s="610"/>
      <c r="K70" s="610"/>
      <c r="L70" s="610"/>
      <c r="M70" s="610"/>
      <c r="N70" s="786"/>
      <c r="O70" s="786"/>
      <c r="P70" s="787"/>
    </row>
    <row r="71" spans="2:19">
      <c r="B71" s="244"/>
      <c r="C71" s="236"/>
      <c r="D71" s="237"/>
      <c r="E71" s="877" t="s">
        <v>179</v>
      </c>
      <c r="F71" s="878"/>
      <c r="G71" s="878"/>
      <c r="H71" s="878"/>
      <c r="I71" s="878"/>
      <c r="J71" s="878"/>
      <c r="K71" s="879"/>
      <c r="L71" s="257"/>
      <c r="M71" s="251">
        <f>ROUND(N71/2,2)</f>
        <v>34.159999999999997</v>
      </c>
      <c r="N71" s="251">
        <f>ROUNDUP(AndereUitk_AutresAlloc!$G$21/312,2)</f>
        <v>68.320000000000007</v>
      </c>
      <c r="O71" s="257"/>
      <c r="P71" s="257"/>
      <c r="R71" s="547"/>
      <c r="S71" s="150"/>
    </row>
    <row r="72" spans="2:19" ht="15" thickBot="1">
      <c r="B72" s="243"/>
      <c r="C72" s="239"/>
      <c r="D72" s="240"/>
      <c r="E72" s="838" t="s">
        <v>178</v>
      </c>
      <c r="F72" s="839"/>
      <c r="G72" s="839"/>
      <c r="H72" s="839"/>
      <c r="I72" s="839"/>
      <c r="J72" s="839"/>
      <c r="K72" s="840"/>
      <c r="L72" s="258"/>
      <c r="M72" s="252">
        <f>ROUND(N72/2,2)</f>
        <v>25.28</v>
      </c>
      <c r="N72" s="252">
        <f>ROUNDUP(AndereUitk_AutresAlloc!$G$22/312,2)</f>
        <v>50.55</v>
      </c>
      <c r="O72" s="258"/>
      <c r="P72" s="258"/>
      <c r="R72" s="547"/>
      <c r="S72" s="150"/>
    </row>
    <row r="73" spans="2:19" ht="15" thickBot="1">
      <c r="B73" s="245"/>
      <c r="C73" s="368"/>
      <c r="D73" s="368"/>
      <c r="E73" s="376"/>
      <c r="F73" s="376"/>
      <c r="G73" s="376"/>
      <c r="H73" s="376"/>
      <c r="I73" s="376"/>
      <c r="J73" s="376"/>
      <c r="K73" s="376"/>
      <c r="R73" s="150"/>
      <c r="S73" s="224"/>
    </row>
    <row r="74" spans="2:19" ht="15" thickBot="1">
      <c r="B74" s="805" t="s">
        <v>207</v>
      </c>
      <c r="C74" s="806"/>
      <c r="D74" s="807"/>
      <c r="E74" s="802" t="s">
        <v>204</v>
      </c>
      <c r="F74" s="803"/>
      <c r="G74" s="803"/>
      <c r="H74" s="803"/>
      <c r="I74" s="803"/>
      <c r="J74" s="803"/>
      <c r="K74" s="803"/>
      <c r="L74" s="803"/>
      <c r="M74" s="803"/>
      <c r="N74" s="803"/>
      <c r="O74" s="803"/>
      <c r="P74" s="804"/>
    </row>
    <row r="75" spans="2:19" ht="15.75" customHeight="1">
      <c r="B75" s="443"/>
      <c r="C75" s="444"/>
      <c r="D75" s="448"/>
      <c r="E75" s="796" t="s">
        <v>151</v>
      </c>
      <c r="F75" s="797"/>
      <c r="G75" s="797"/>
      <c r="H75" s="797"/>
      <c r="I75" s="797"/>
      <c r="J75" s="797"/>
      <c r="K75" s="798"/>
      <c r="L75" s="257"/>
      <c r="M75" s="257"/>
      <c r="N75" s="257"/>
      <c r="O75" s="251">
        <f>O7</f>
        <v>2111.89</v>
      </c>
      <c r="P75" s="257"/>
      <c r="R75" s="150"/>
    </row>
    <row r="76" spans="2:19" ht="15.75" customHeight="1" thickBot="1">
      <c r="B76" s="445"/>
      <c r="C76" s="446"/>
      <c r="D76" s="447"/>
      <c r="E76" s="811" t="s">
        <v>152</v>
      </c>
      <c r="F76" s="812"/>
      <c r="G76" s="812"/>
      <c r="H76" s="812"/>
      <c r="I76" s="812"/>
      <c r="J76" s="812"/>
      <c r="K76" s="852"/>
      <c r="L76" s="258"/>
      <c r="M76" s="258"/>
      <c r="N76" s="258"/>
      <c r="O76" s="252">
        <f>O8</f>
        <v>2111.89</v>
      </c>
      <c r="P76" s="258"/>
      <c r="R76" s="150"/>
    </row>
    <row r="77" spans="2:19" ht="15" customHeight="1" thickBot="1">
      <c r="B77" s="449"/>
      <c r="C77" s="449"/>
      <c r="D77" s="449"/>
      <c r="E77" s="233"/>
      <c r="F77" s="233"/>
      <c r="G77" s="233"/>
      <c r="H77" s="233"/>
      <c r="I77" s="233"/>
      <c r="J77" s="233"/>
      <c r="K77" s="233"/>
      <c r="L77" s="233"/>
      <c r="M77" s="233"/>
      <c r="N77" s="248"/>
      <c r="O77" s="248"/>
      <c r="P77" s="248"/>
    </row>
    <row r="78" spans="2:19" ht="15" thickBot="1">
      <c r="B78" s="805" t="s">
        <v>208</v>
      </c>
      <c r="C78" s="806"/>
      <c r="D78" s="807"/>
      <c r="E78" s="609" t="s">
        <v>203</v>
      </c>
      <c r="F78" s="610"/>
      <c r="G78" s="610"/>
      <c r="H78" s="610"/>
      <c r="I78" s="610"/>
      <c r="J78" s="610"/>
      <c r="K78" s="610"/>
      <c r="L78" s="610"/>
      <c r="M78" s="610"/>
      <c r="N78" s="786"/>
      <c r="O78" s="786"/>
      <c r="P78" s="787"/>
    </row>
    <row r="79" spans="2:19">
      <c r="B79" s="244"/>
      <c r="C79" s="236"/>
      <c r="D79" s="237"/>
      <c r="E79" s="796" t="s">
        <v>179</v>
      </c>
      <c r="F79" s="797"/>
      <c r="G79" s="797"/>
      <c r="H79" s="797"/>
      <c r="I79" s="797"/>
      <c r="J79" s="797"/>
      <c r="K79" s="798"/>
      <c r="L79" s="257"/>
      <c r="M79" s="257"/>
      <c r="N79" s="251">
        <f>ROUND((O79/26)+0.0049,2)</f>
        <v>9.17</v>
      </c>
      <c r="O79" s="251">
        <f>ROUND(Basisbedragen!$C$71*$P$1,2)</f>
        <v>238.19</v>
      </c>
      <c r="P79" s="257"/>
    </row>
    <row r="80" spans="2:19">
      <c r="B80" s="244"/>
      <c r="C80" s="236"/>
      <c r="D80" s="237"/>
      <c r="E80" s="808" t="s">
        <v>178</v>
      </c>
      <c r="F80" s="809"/>
      <c r="G80" s="809"/>
      <c r="H80" s="809"/>
      <c r="I80" s="809"/>
      <c r="J80" s="809"/>
      <c r="K80" s="810"/>
      <c r="L80" s="260"/>
      <c r="M80" s="260"/>
      <c r="N80" s="253">
        <f>ROUND((O80/26)+0.0049,2)</f>
        <v>7.33</v>
      </c>
      <c r="O80" s="253">
        <f>ROUND(Basisbedragen!$C$72*$P$1,2)</f>
        <v>190.55</v>
      </c>
      <c r="P80" s="260"/>
    </row>
    <row r="81" spans="1:18" ht="15" thickBot="1">
      <c r="B81" s="243"/>
      <c r="C81" s="239"/>
      <c r="D81" s="240"/>
      <c r="E81" s="811" t="s">
        <v>180</v>
      </c>
      <c r="F81" s="812"/>
      <c r="G81" s="812"/>
      <c r="H81" s="812"/>
      <c r="I81" s="812"/>
      <c r="J81" s="812"/>
      <c r="K81" s="813"/>
      <c r="L81" s="258"/>
      <c r="M81" s="258"/>
      <c r="N81" s="252">
        <f>ROUND((O81/26)+0.0049,2)</f>
        <v>5.5</v>
      </c>
      <c r="O81" s="252">
        <f>ROUND(Basisbedragen!$C$73*$P$1,2)</f>
        <v>142.9</v>
      </c>
      <c r="P81" s="258"/>
    </row>
    <row r="82" spans="1:18" ht="15" thickBot="1">
      <c r="B82" s="231"/>
      <c r="C82" s="231"/>
      <c r="D82" s="231"/>
      <c r="E82" s="233"/>
      <c r="F82" s="233"/>
      <c r="G82" s="233"/>
      <c r="H82" s="233"/>
      <c r="I82" s="233"/>
      <c r="J82" s="233"/>
      <c r="K82" s="233"/>
      <c r="L82" s="233"/>
      <c r="M82" s="233"/>
      <c r="N82" s="248"/>
      <c r="O82" s="248"/>
      <c r="P82" s="248"/>
    </row>
    <row r="83" spans="1:18" ht="15" thickBot="1">
      <c r="B83" s="805" t="s">
        <v>290</v>
      </c>
      <c r="C83" s="806"/>
      <c r="D83" s="807"/>
      <c r="E83" s="814" t="s">
        <v>205</v>
      </c>
      <c r="F83" s="815"/>
      <c r="G83" s="815"/>
      <c r="H83" s="815"/>
      <c r="I83" s="815"/>
      <c r="J83" s="815"/>
      <c r="K83" s="815"/>
      <c r="L83" s="816"/>
      <c r="M83" s="816"/>
      <c r="N83" s="816"/>
      <c r="O83" s="816"/>
      <c r="P83" s="817"/>
    </row>
    <row r="84" spans="1:18">
      <c r="B84" s="357"/>
      <c r="C84" s="358"/>
      <c r="D84" s="358"/>
      <c r="E84" s="796" t="s">
        <v>179</v>
      </c>
      <c r="F84" s="797"/>
      <c r="G84" s="797"/>
      <c r="H84" s="797"/>
      <c r="I84" s="797"/>
      <c r="J84" s="797"/>
      <c r="K84" s="798"/>
      <c r="L84" s="251">
        <f>ROUND(Basisbedragen!$C$74*$P$1,2)</f>
        <v>4.0199999999999996</v>
      </c>
      <c r="M84" s="257"/>
      <c r="N84" s="257"/>
      <c r="O84" s="257"/>
      <c r="P84" s="257"/>
      <c r="R84" s="150"/>
    </row>
    <row r="85" spans="1:18">
      <c r="B85" s="357"/>
      <c r="C85" s="358"/>
      <c r="D85" s="358"/>
      <c r="E85" s="808" t="s">
        <v>178</v>
      </c>
      <c r="F85" s="809"/>
      <c r="G85" s="809"/>
      <c r="H85" s="809"/>
      <c r="I85" s="809"/>
      <c r="J85" s="809"/>
      <c r="K85" s="810"/>
      <c r="L85" s="253">
        <f>L84</f>
        <v>4.0199999999999996</v>
      </c>
      <c r="M85" s="260"/>
      <c r="N85" s="260"/>
      <c r="O85" s="260"/>
      <c r="P85" s="260"/>
      <c r="R85" s="150"/>
    </row>
    <row r="86" spans="1:18" ht="15" thickBot="1">
      <c r="B86" s="359"/>
      <c r="C86" s="360"/>
      <c r="D86" s="361"/>
      <c r="E86" s="811" t="s">
        <v>180</v>
      </c>
      <c r="F86" s="812"/>
      <c r="G86" s="812"/>
      <c r="H86" s="812"/>
      <c r="I86" s="812"/>
      <c r="J86" s="812"/>
      <c r="K86" s="813"/>
      <c r="L86" s="252">
        <f>L84</f>
        <v>4.0199999999999996</v>
      </c>
      <c r="M86" s="258"/>
      <c r="N86" s="258"/>
      <c r="O86" s="258"/>
      <c r="P86" s="258"/>
      <c r="R86" s="150"/>
    </row>
    <row r="87" spans="1:18" ht="15" thickBot="1">
      <c r="B87" s="231"/>
      <c r="C87" s="231"/>
      <c r="D87" s="231"/>
      <c r="E87" s="233"/>
      <c r="F87" s="233"/>
      <c r="G87" s="233"/>
      <c r="H87" s="233"/>
      <c r="I87" s="233"/>
      <c r="J87" s="233"/>
      <c r="K87" s="233"/>
      <c r="L87" s="233"/>
      <c r="M87" s="233"/>
      <c r="N87" s="248"/>
      <c r="O87" s="248"/>
      <c r="P87" s="248"/>
    </row>
    <row r="88" spans="1:18" ht="15" thickBot="1">
      <c r="B88" s="780" t="s">
        <v>209</v>
      </c>
      <c r="C88" s="781"/>
      <c r="D88" s="782"/>
      <c r="E88" s="814" t="s">
        <v>206</v>
      </c>
      <c r="F88" s="815"/>
      <c r="G88" s="815"/>
      <c r="H88" s="815"/>
      <c r="I88" s="815"/>
      <c r="J88" s="815"/>
      <c r="K88" s="887"/>
      <c r="L88" s="259"/>
      <c r="M88" s="307">
        <f>Bhalf_Bdemi!$N$9</f>
        <v>14.35</v>
      </c>
      <c r="N88" s="259"/>
      <c r="O88" s="259"/>
      <c r="P88" s="259"/>
      <c r="R88" s="150"/>
    </row>
    <row r="89" spans="1:18" ht="15" thickBot="1">
      <c r="B89" s="231"/>
      <c r="C89" s="231"/>
      <c r="D89" s="231"/>
      <c r="E89" s="161"/>
      <c r="F89" s="161"/>
      <c r="G89" s="161"/>
      <c r="H89" s="161"/>
      <c r="I89" s="161"/>
      <c r="J89" s="161"/>
      <c r="K89" s="161"/>
      <c r="L89" s="161"/>
      <c r="M89" s="161"/>
      <c r="N89" s="248"/>
      <c r="O89" s="248"/>
      <c r="P89" s="248"/>
    </row>
    <row r="90" spans="1:18" ht="15" thickBot="1">
      <c r="B90" s="780" t="s">
        <v>210</v>
      </c>
      <c r="C90" s="781"/>
      <c r="D90" s="782"/>
      <c r="E90" s="609" t="s">
        <v>181</v>
      </c>
      <c r="F90" s="610"/>
      <c r="G90" s="610"/>
      <c r="H90" s="610"/>
      <c r="I90" s="610"/>
      <c r="J90" s="610"/>
      <c r="K90" s="611"/>
      <c r="L90" s="259"/>
      <c r="M90" s="259"/>
      <c r="N90" s="259"/>
      <c r="O90" s="249">
        <f>ROUND(Basisbedragen!$C$76*$P$1,2)</f>
        <v>107.12</v>
      </c>
      <c r="P90" s="259"/>
    </row>
    <row r="91" spans="1:18" ht="15" thickBot="1">
      <c r="B91" s="231"/>
      <c r="C91" s="231"/>
      <c r="D91" s="231"/>
      <c r="E91" s="161"/>
      <c r="F91" s="161"/>
      <c r="G91" s="161"/>
      <c r="H91" s="161"/>
      <c r="I91" s="161"/>
      <c r="J91" s="161"/>
      <c r="K91" s="161"/>
      <c r="L91" s="161"/>
      <c r="M91" s="161"/>
      <c r="N91" s="248"/>
      <c r="O91" s="248"/>
      <c r="P91" s="250"/>
    </row>
    <row r="92" spans="1:18" ht="15" thickBot="1">
      <c r="B92" s="780" t="s">
        <v>211</v>
      </c>
      <c r="C92" s="781"/>
      <c r="D92" s="782"/>
      <c r="E92" s="609" t="s">
        <v>182</v>
      </c>
      <c r="F92" s="610"/>
      <c r="G92" s="610"/>
      <c r="H92" s="610"/>
      <c r="I92" s="610"/>
      <c r="J92" s="610"/>
      <c r="K92" s="611"/>
      <c r="L92" s="259"/>
      <c r="M92" s="259"/>
      <c r="N92" s="259"/>
      <c r="O92" s="259"/>
      <c r="P92" s="249">
        <f>ROUND(Basisbedragen!$C$77*$P$1,2)</f>
        <v>13419.21</v>
      </c>
    </row>
    <row r="93" spans="1:18" ht="15" thickBot="1">
      <c r="A93" s="150"/>
      <c r="B93" s="150"/>
    </row>
    <row r="94" spans="1:18" s="553" customFormat="1" ht="15" thickBot="1">
      <c r="A94" s="150"/>
      <c r="B94" s="780" t="s">
        <v>540</v>
      </c>
      <c r="C94" s="781"/>
      <c r="D94" s="782"/>
      <c r="E94" s="609" t="s">
        <v>541</v>
      </c>
      <c r="F94" s="610"/>
      <c r="G94" s="610"/>
      <c r="H94" s="610"/>
      <c r="I94" s="610"/>
      <c r="J94" s="610"/>
      <c r="K94" s="611"/>
      <c r="L94" s="259"/>
      <c r="M94" s="259"/>
      <c r="N94" s="307">
        <f>ROUND(O8*5/52,2)</f>
        <v>203.07</v>
      </c>
      <c r="O94" s="259"/>
      <c r="P94" s="259"/>
      <c r="R94" s="150"/>
    </row>
    <row r="95" spans="1:18" s="553" customFormat="1" ht="15" thickBot="1">
      <c r="A95" s="150"/>
      <c r="B95" s="150"/>
    </row>
    <row r="96" spans="1:18" s="500" customFormat="1" ht="15" thickBot="1">
      <c r="A96" s="150"/>
      <c r="B96" s="836" t="s">
        <v>542</v>
      </c>
      <c r="C96" s="836"/>
      <c r="D96" s="836"/>
      <c r="E96" s="837" t="s">
        <v>526</v>
      </c>
      <c r="F96" s="837"/>
      <c r="G96" s="837"/>
      <c r="H96" s="837"/>
      <c r="I96" s="837"/>
      <c r="J96" s="837"/>
      <c r="K96" s="837"/>
      <c r="L96" s="259"/>
      <c r="M96" s="259"/>
      <c r="N96" s="506">
        <f>ROUND(Basisbedragen!$C$78*$P$1,2)</f>
        <v>35.450000000000003</v>
      </c>
      <c r="O96" s="506">
        <f>N96*26</f>
        <v>921.7</v>
      </c>
      <c r="P96" s="508">
        <f>N96*312</f>
        <v>11060.400000000001</v>
      </c>
      <c r="R96" s="150"/>
    </row>
    <row r="97" spans="1:16" s="500" customFormat="1" ht="15" thickBot="1">
      <c r="A97" s="150"/>
      <c r="B97" s="150"/>
      <c r="O97" s="507"/>
    </row>
    <row r="98" spans="1:16" ht="15" thickBot="1">
      <c r="A98" s="150"/>
      <c r="B98" s="830" t="s">
        <v>214</v>
      </c>
      <c r="C98" s="831"/>
      <c r="D98" s="832"/>
      <c r="E98" s="833" t="s">
        <v>215</v>
      </c>
      <c r="F98" s="834"/>
      <c r="G98" s="834"/>
      <c r="H98" s="834"/>
      <c r="I98" s="834"/>
      <c r="J98" s="834"/>
      <c r="K98" s="835"/>
      <c r="L98" s="259"/>
      <c r="M98" s="259"/>
      <c r="N98" s="325">
        <f>ROUND(Basisbedragen!$C$82*$P$1,2)</f>
        <v>19.670000000000002</v>
      </c>
      <c r="O98" s="259"/>
      <c r="P98" s="259"/>
    </row>
    <row r="99" spans="1:16">
      <c r="A99" s="150"/>
    </row>
    <row r="100" spans="1:16">
      <c r="A100" s="150"/>
      <c r="B100" s="150"/>
    </row>
    <row r="101" spans="1:16">
      <c r="A101" s="150"/>
      <c r="B101" s="150"/>
    </row>
    <row r="102" spans="1:16">
      <c r="A102" s="150"/>
      <c r="B102" s="150"/>
    </row>
    <row r="103" spans="1:16">
      <c r="A103" s="150"/>
      <c r="B103" s="150"/>
    </row>
    <row r="104" spans="1:16">
      <c r="A104" s="150"/>
      <c r="B104" s="150"/>
    </row>
    <row r="105" spans="1:16">
      <c r="A105" s="150"/>
      <c r="B105" s="150"/>
    </row>
    <row r="106" spans="1:16">
      <c r="A106" s="150"/>
      <c r="B106" s="150"/>
    </row>
    <row r="107" spans="1:16">
      <c r="A107" s="150"/>
      <c r="B107" s="150"/>
    </row>
    <row r="108" spans="1:16">
      <c r="A108" s="150"/>
      <c r="B108" s="150"/>
    </row>
    <row r="109" spans="1:16">
      <c r="A109" s="150"/>
      <c r="B109" s="150"/>
    </row>
    <row r="110" spans="1:16">
      <c r="A110" s="150"/>
      <c r="B110" s="150"/>
    </row>
    <row r="111" spans="1:16">
      <c r="A111" s="150"/>
      <c r="B111" s="150"/>
    </row>
    <row r="112" spans="1:16">
      <c r="A112" s="150"/>
      <c r="B112" s="150"/>
    </row>
    <row r="113" spans="1:2">
      <c r="A113" s="150"/>
      <c r="B113" s="150"/>
    </row>
    <row r="114" spans="1:2">
      <c r="A114" s="150"/>
      <c r="B114" s="150"/>
    </row>
    <row r="115" spans="1:2">
      <c r="A115" s="150"/>
      <c r="B115" s="150"/>
    </row>
    <row r="116" spans="1:2">
      <c r="A116" s="150"/>
      <c r="B116" s="150"/>
    </row>
    <row r="117" spans="1:2">
      <c r="A117" s="150"/>
      <c r="B117" s="150"/>
    </row>
    <row r="118" spans="1:2">
      <c r="A118" s="150"/>
      <c r="B118" s="150"/>
    </row>
    <row r="119" spans="1:2">
      <c r="A119" s="150"/>
      <c r="B119" s="150"/>
    </row>
    <row r="120" spans="1:2">
      <c r="A120" s="150"/>
      <c r="B120" s="150"/>
    </row>
    <row r="121" spans="1:2">
      <c r="A121" s="150"/>
      <c r="B121" s="150"/>
    </row>
    <row r="122" spans="1:2">
      <c r="A122" s="150"/>
      <c r="B122" s="150"/>
    </row>
    <row r="123" spans="1:2">
      <c r="A123" s="150"/>
      <c r="B123" s="150"/>
    </row>
    <row r="124" spans="1:2">
      <c r="A124" s="150"/>
      <c r="B124" s="150"/>
    </row>
    <row r="125" spans="1:2">
      <c r="A125" s="150"/>
      <c r="B125" s="150"/>
    </row>
    <row r="126" spans="1:2">
      <c r="A126" s="150"/>
      <c r="B126" s="150"/>
    </row>
    <row r="127" spans="1:2">
      <c r="A127" s="150"/>
      <c r="B127" s="150"/>
    </row>
    <row r="128" spans="1:2">
      <c r="A128" s="150"/>
      <c r="B128" s="150"/>
    </row>
    <row r="129" spans="1:2">
      <c r="A129" s="150"/>
      <c r="B129" s="150"/>
    </row>
    <row r="130" spans="1:2">
      <c r="A130" s="150"/>
      <c r="B130" s="150"/>
    </row>
    <row r="131" spans="1:2">
      <c r="A131" s="150"/>
      <c r="B131" s="150"/>
    </row>
    <row r="132" spans="1:2">
      <c r="A132" s="150"/>
      <c r="B132" s="150"/>
    </row>
    <row r="133" spans="1:2">
      <c r="A133" s="150"/>
      <c r="B133" s="150"/>
    </row>
    <row r="134" spans="1:2">
      <c r="A134" s="150"/>
      <c r="B134" s="150"/>
    </row>
    <row r="135" spans="1:2">
      <c r="A135" s="150"/>
      <c r="B135" s="150"/>
    </row>
    <row r="136" spans="1:2">
      <c r="A136" s="150"/>
      <c r="B136" s="150"/>
    </row>
    <row r="137" spans="1:2">
      <c r="A137" s="150"/>
      <c r="B137" s="150"/>
    </row>
    <row r="138" spans="1:2">
      <c r="A138" s="150"/>
      <c r="B138" s="150"/>
    </row>
    <row r="139" spans="1:2">
      <c r="A139" s="150"/>
      <c r="B139" s="150"/>
    </row>
    <row r="140" spans="1:2">
      <c r="A140" s="150"/>
      <c r="B140" s="150"/>
    </row>
    <row r="141" spans="1:2">
      <c r="A141" s="150"/>
      <c r="B141" s="150"/>
    </row>
    <row r="142" spans="1:2">
      <c r="A142" s="150"/>
      <c r="B142" s="150"/>
    </row>
    <row r="143" spans="1:2">
      <c r="A143" s="150"/>
      <c r="B143" s="150"/>
    </row>
    <row r="144" spans="1:2">
      <c r="A144" s="150"/>
      <c r="B144" s="150"/>
    </row>
    <row r="145" spans="1:2">
      <c r="A145" s="150"/>
      <c r="B145" s="150"/>
    </row>
    <row r="146" spans="1:2">
      <c r="A146" s="150"/>
      <c r="B146" s="150"/>
    </row>
    <row r="147" spans="1:2">
      <c r="A147" s="150"/>
      <c r="B147" s="150"/>
    </row>
    <row r="148" spans="1:2">
      <c r="A148" s="150"/>
      <c r="B148" s="150"/>
    </row>
    <row r="149" spans="1:2">
      <c r="A149" s="150"/>
      <c r="B149" s="150"/>
    </row>
    <row r="150" spans="1:2">
      <c r="A150" s="150"/>
      <c r="B150" s="150"/>
    </row>
    <row r="151" spans="1:2">
      <c r="A151" s="150"/>
      <c r="B151" s="150"/>
    </row>
    <row r="152" spans="1:2">
      <c r="A152" s="150"/>
      <c r="B152" s="150"/>
    </row>
    <row r="153" spans="1:2">
      <c r="A153" s="150"/>
      <c r="B153" s="150"/>
    </row>
    <row r="154" spans="1:2">
      <c r="A154" s="150"/>
      <c r="B154" s="150"/>
    </row>
    <row r="155" spans="1:2">
      <c r="A155" s="150"/>
      <c r="B155" s="150"/>
    </row>
    <row r="156" spans="1:2">
      <c r="A156" s="150"/>
      <c r="B156" s="150"/>
    </row>
    <row r="157" spans="1:2">
      <c r="A157" s="150"/>
      <c r="B157" s="150"/>
    </row>
    <row r="158" spans="1:2">
      <c r="A158" s="150"/>
      <c r="B158" s="150"/>
    </row>
    <row r="159" spans="1:2">
      <c r="A159" s="150"/>
      <c r="B159" s="150"/>
    </row>
    <row r="160" spans="1:2">
      <c r="A160" s="150"/>
      <c r="B160" s="150"/>
    </row>
    <row r="161" spans="1:2">
      <c r="A161" s="150"/>
      <c r="B161" s="150"/>
    </row>
    <row r="162" spans="1:2">
      <c r="A162" s="150"/>
      <c r="B162" s="150"/>
    </row>
    <row r="163" spans="1:2">
      <c r="A163" s="150"/>
      <c r="B163" s="150"/>
    </row>
    <row r="164" spans="1:2">
      <c r="A164" s="150"/>
      <c r="B164" s="150"/>
    </row>
    <row r="165" spans="1:2">
      <c r="A165" s="150"/>
      <c r="B165" s="150"/>
    </row>
    <row r="166" spans="1:2">
      <c r="A166" s="150"/>
      <c r="B166" s="150"/>
    </row>
    <row r="167" spans="1:2">
      <c r="A167" s="150"/>
      <c r="B167" s="150"/>
    </row>
    <row r="168" spans="1:2">
      <c r="A168" s="150"/>
      <c r="B168" s="150"/>
    </row>
    <row r="169" spans="1:2">
      <c r="A169" s="150"/>
      <c r="B169" s="150"/>
    </row>
    <row r="170" spans="1:2">
      <c r="A170" s="150"/>
      <c r="B170" s="150"/>
    </row>
    <row r="171" spans="1:2">
      <c r="A171" s="150"/>
      <c r="B171" s="150"/>
    </row>
    <row r="172" spans="1:2">
      <c r="A172" s="150"/>
      <c r="B172" s="150"/>
    </row>
    <row r="173" spans="1:2">
      <c r="A173" s="150"/>
      <c r="B173" s="150"/>
    </row>
    <row r="174" spans="1:2">
      <c r="A174" s="150"/>
      <c r="B174" s="150"/>
    </row>
    <row r="175" spans="1:2">
      <c r="A175" s="150"/>
      <c r="B175" s="150"/>
    </row>
    <row r="176" spans="1:2">
      <c r="A176" s="150"/>
      <c r="B176" s="150"/>
    </row>
    <row r="177" spans="1:2">
      <c r="A177" s="150"/>
      <c r="B177" s="150"/>
    </row>
    <row r="178" spans="1:2">
      <c r="A178" s="150"/>
      <c r="B178" s="150"/>
    </row>
    <row r="179" spans="1:2">
      <c r="A179" s="150"/>
      <c r="B179" s="150"/>
    </row>
    <row r="180" spans="1:2">
      <c r="A180" s="150"/>
      <c r="B180" s="150"/>
    </row>
    <row r="181" spans="1:2">
      <c r="A181" s="150"/>
      <c r="B181" s="150"/>
    </row>
  </sheetData>
  <sheetProtection algorithmName="SHA-512" hashValue="0s+ag9YWcyraJn6pSyNiFsNYmndWe7ZZuDGUGMlHJAQYe3/iMkwzMtl8x+DY3fC3tNRzVvM2TWRE8o6K7ayVmQ==" saltValue="x46NPjeQN+cPK89Vx5GPrQ==" spinCount="100000" sheet="1" objects="1" scenarios="1"/>
  <mergeCells count="122">
    <mergeCell ref="B83:D83"/>
    <mergeCell ref="B88:D88"/>
    <mergeCell ref="B90:D90"/>
    <mergeCell ref="B78:D78"/>
    <mergeCell ref="E88:K88"/>
    <mergeCell ref="E90:K90"/>
    <mergeCell ref="E79:K79"/>
    <mergeCell ref="E66:K66"/>
    <mergeCell ref="E71:K71"/>
    <mergeCell ref="E72:K72"/>
    <mergeCell ref="E62:K62"/>
    <mergeCell ref="E63:K63"/>
    <mergeCell ref="O57:O58"/>
    <mergeCell ref="Y48:Z48"/>
    <mergeCell ref="E28:K28"/>
    <mergeCell ref="E4:K4"/>
    <mergeCell ref="B38:D38"/>
    <mergeCell ref="B40:D40"/>
    <mergeCell ref="E37:K37"/>
    <mergeCell ref="E38:K38"/>
    <mergeCell ref="E39:K39"/>
    <mergeCell ref="E40:K40"/>
    <mergeCell ref="E32:P32"/>
    <mergeCell ref="E10:P10"/>
    <mergeCell ref="E6:P6"/>
    <mergeCell ref="E27:P27"/>
    <mergeCell ref="E33:K33"/>
    <mergeCell ref="E34:K34"/>
    <mergeCell ref="E30:K30"/>
    <mergeCell ref="E29:K29"/>
    <mergeCell ref="B46:D46"/>
    <mergeCell ref="B18:D18"/>
    <mergeCell ref="E22:K23"/>
    <mergeCell ref="L22:L23"/>
    <mergeCell ref="M22:M23"/>
    <mergeCell ref="N22:N23"/>
    <mergeCell ref="O22:O23"/>
    <mergeCell ref="T38:X38"/>
    <mergeCell ref="T39:X39"/>
    <mergeCell ref="B10:D12"/>
    <mergeCell ref="B22:D23"/>
    <mergeCell ref="N1:O1"/>
    <mergeCell ref="B4:D4"/>
    <mergeCell ref="B6:D6"/>
    <mergeCell ref="B1:C1"/>
    <mergeCell ref="B2:C2"/>
    <mergeCell ref="D1:H1"/>
    <mergeCell ref="D2:H2"/>
    <mergeCell ref="E20:K20"/>
    <mergeCell ref="P22:P23"/>
    <mergeCell ref="B44:D44"/>
    <mergeCell ref="T41:X41"/>
    <mergeCell ref="B41:D41"/>
    <mergeCell ref="E7:K7"/>
    <mergeCell ref="E8:K8"/>
    <mergeCell ref="E11:K11"/>
    <mergeCell ref="E12:K12"/>
    <mergeCell ref="E36:P36"/>
    <mergeCell ref="B32:D32"/>
    <mergeCell ref="E25:K25"/>
    <mergeCell ref="B25:D25"/>
    <mergeCell ref="B27:D27"/>
    <mergeCell ref="E41:K41"/>
    <mergeCell ref="B37:D37"/>
    <mergeCell ref="B42:D42"/>
    <mergeCell ref="B43:D43"/>
    <mergeCell ref="E43:K43"/>
    <mergeCell ref="B14:D14"/>
    <mergeCell ref="E14:P14"/>
    <mergeCell ref="E15:K15"/>
    <mergeCell ref="B39:D39"/>
    <mergeCell ref="E18:K18"/>
    <mergeCell ref="B36:D36"/>
    <mergeCell ref="E16:K16"/>
    <mergeCell ref="E42:K42"/>
    <mergeCell ref="E46:K46"/>
    <mergeCell ref="E47:K47"/>
    <mergeCell ref="E48:K48"/>
    <mergeCell ref="B20:D20"/>
    <mergeCell ref="B98:D98"/>
    <mergeCell ref="E55:K55"/>
    <mergeCell ref="E49:K49"/>
    <mergeCell ref="E50:K50"/>
    <mergeCell ref="E98:K98"/>
    <mergeCell ref="B96:D96"/>
    <mergeCell ref="E96:K96"/>
    <mergeCell ref="E44:K44"/>
    <mergeCell ref="E57:K58"/>
    <mergeCell ref="B57:D57"/>
    <mergeCell ref="B58:D58"/>
    <mergeCell ref="B60:D60"/>
    <mergeCell ref="B61:D61"/>
    <mergeCell ref="B66:D66"/>
    <mergeCell ref="B70:D70"/>
    <mergeCell ref="B68:D68"/>
    <mergeCell ref="E64:K64"/>
    <mergeCell ref="E76:K76"/>
    <mergeCell ref="E78:P78"/>
    <mergeCell ref="B94:D94"/>
    <mergeCell ref="E94:K94"/>
    <mergeCell ref="E53:K53"/>
    <mergeCell ref="E51:K51"/>
    <mergeCell ref="B55:D55"/>
    <mergeCell ref="B53:D53"/>
    <mergeCell ref="E70:P70"/>
    <mergeCell ref="E60:P61"/>
    <mergeCell ref="E75:K75"/>
    <mergeCell ref="E68:K68"/>
    <mergeCell ref="N57:N58"/>
    <mergeCell ref="E74:P74"/>
    <mergeCell ref="B74:D74"/>
    <mergeCell ref="L57:L58"/>
    <mergeCell ref="P57:P58"/>
    <mergeCell ref="B92:D92"/>
    <mergeCell ref="E92:K92"/>
    <mergeCell ref="E84:K84"/>
    <mergeCell ref="E85:K85"/>
    <mergeCell ref="E86:K86"/>
    <mergeCell ref="E83:P83"/>
    <mergeCell ref="M57:M58"/>
    <mergeCell ref="E80:K80"/>
    <mergeCell ref="E81:K8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&amp;LRijksdienst voor Arbeidsvoorziening&amp;ROffice national de l'Emploi
</oddFooter>
  </headerFooter>
  <rowBreaks count="2" manualBreakCount="2">
    <brk id="44" max="17" man="1"/>
    <brk id="7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41"/>
  <sheetViews>
    <sheetView showGridLines="0" zoomScaleNormal="100" workbookViewId="0">
      <selection activeCell="A2" sqref="A2:B2"/>
    </sheetView>
  </sheetViews>
  <sheetFormatPr defaultColWidth="9.109375" defaultRowHeight="14.4"/>
  <cols>
    <col min="1" max="1" width="12.109375" customWidth="1"/>
    <col min="3" max="3" width="9.44140625" bestFit="1" customWidth="1"/>
    <col min="4" max="4" width="3.44140625" customWidth="1"/>
    <col min="5" max="5" width="10" customWidth="1"/>
    <col min="6" max="6" width="10.6640625" customWidth="1"/>
    <col min="7" max="7" width="9.5546875" customWidth="1"/>
    <col min="8" max="8" width="2.33203125" customWidth="1"/>
    <col min="9" max="9" width="12.109375" customWidth="1"/>
    <col min="13" max="13" width="9.33203125" bestFit="1" customWidth="1"/>
    <col min="14" max="14" width="11.109375" bestFit="1" customWidth="1"/>
    <col min="15" max="17" width="1.44140625" customWidth="1"/>
    <col min="18" max="19" width="9.109375" customWidth="1"/>
  </cols>
  <sheetData>
    <row r="1" spans="1:32" s="122" customFormat="1" ht="15.6">
      <c r="A1" s="633" t="s">
        <v>33</v>
      </c>
      <c r="B1" s="634"/>
      <c r="C1" s="646" t="s">
        <v>98</v>
      </c>
      <c r="D1" s="647"/>
      <c r="E1" s="647"/>
      <c r="F1" s="647"/>
      <c r="G1" s="647"/>
      <c r="H1" s="120"/>
      <c r="I1" s="120"/>
      <c r="J1" s="653"/>
      <c r="K1" s="653"/>
      <c r="L1" s="653"/>
      <c r="M1" s="149"/>
      <c r="P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22" customFormat="1" ht="15.75" customHeight="1">
      <c r="A2" s="635">
        <v>44927</v>
      </c>
      <c r="B2" s="636"/>
      <c r="C2" s="644" t="s">
        <v>99</v>
      </c>
      <c r="D2" s="645"/>
      <c r="E2" s="645"/>
      <c r="F2" s="645"/>
      <c r="G2" s="645"/>
      <c r="H2" s="120"/>
      <c r="I2" s="120"/>
      <c r="J2" s="123"/>
      <c r="K2" s="124"/>
      <c r="L2" s="109"/>
      <c r="M2" s="121"/>
      <c r="N2" s="121"/>
      <c r="O2" s="121"/>
      <c r="P2"/>
      <c r="Q2" s="12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5" spans="1:32">
      <c r="A5" s="45" t="s">
        <v>113</v>
      </c>
      <c r="B5" s="45"/>
      <c r="C5" s="45"/>
      <c r="D5" s="45"/>
      <c r="E5" s="45"/>
    </row>
    <row r="6" spans="1:32" ht="15" thickBot="1">
      <c r="H6" s="150"/>
    </row>
    <row r="7" spans="1:32">
      <c r="A7" s="928" t="s">
        <v>106</v>
      </c>
      <c r="B7" s="929"/>
      <c r="C7" s="929"/>
      <c r="D7" s="929"/>
      <c r="E7" s="929"/>
      <c r="F7" s="929"/>
      <c r="G7" s="930"/>
      <c r="H7" s="150"/>
      <c r="I7" s="901" t="s">
        <v>322</v>
      </c>
      <c r="J7" s="902"/>
      <c r="K7" s="902"/>
      <c r="L7" s="902"/>
      <c r="M7" s="902"/>
      <c r="N7" s="902"/>
      <c r="O7" s="902"/>
      <c r="P7" s="903"/>
    </row>
    <row r="8" spans="1:32" ht="15" thickBot="1">
      <c r="A8" s="922" t="s">
        <v>112</v>
      </c>
      <c r="B8" s="923"/>
      <c r="C8" s="923"/>
      <c r="D8" s="923"/>
      <c r="E8" s="923"/>
      <c r="F8" s="923"/>
      <c r="G8" s="924"/>
      <c r="H8" s="150"/>
      <c r="I8" s="910" t="s">
        <v>103</v>
      </c>
      <c r="J8" s="911"/>
      <c r="K8" s="911"/>
      <c r="L8" s="911"/>
      <c r="M8" s="911"/>
      <c r="N8" s="911"/>
      <c r="O8" s="911"/>
      <c r="P8" s="912"/>
    </row>
    <row r="9" spans="1:32" ht="16.2" thickBot="1">
      <c r="A9" s="166" t="s">
        <v>3</v>
      </c>
      <c r="B9" s="925" t="s">
        <v>104</v>
      </c>
      <c r="C9" s="926"/>
      <c r="D9" s="926"/>
      <c r="E9" s="926"/>
      <c r="F9" s="926"/>
      <c r="G9" s="927"/>
      <c r="H9" s="154"/>
      <c r="I9" s="155" t="s">
        <v>3</v>
      </c>
      <c r="J9" s="913" t="s">
        <v>104</v>
      </c>
      <c r="K9" s="914"/>
      <c r="L9" s="914"/>
      <c r="M9" s="914"/>
      <c r="N9" s="914"/>
      <c r="O9" s="914"/>
      <c r="P9" s="915"/>
    </row>
    <row r="10" spans="1:32">
      <c r="A10" s="156" t="s">
        <v>109</v>
      </c>
      <c r="B10" s="888">
        <v>433.81</v>
      </c>
      <c r="C10" s="889"/>
      <c r="D10" s="889"/>
      <c r="E10" s="889"/>
      <c r="F10" s="889"/>
      <c r="G10" s="890"/>
      <c r="H10" s="150"/>
      <c r="I10" s="156" t="s">
        <v>323</v>
      </c>
      <c r="J10" s="907" t="s">
        <v>105</v>
      </c>
      <c r="K10" s="908"/>
      <c r="L10" s="908"/>
      <c r="M10" s="908"/>
      <c r="N10" s="908"/>
      <c r="O10" s="908"/>
      <c r="P10" s="909"/>
    </row>
    <row r="11" spans="1:32" ht="15" thickBot="1">
      <c r="A11" s="158" t="s">
        <v>111</v>
      </c>
      <c r="B11" s="919">
        <v>545.37</v>
      </c>
      <c r="C11" s="920"/>
      <c r="D11" s="920"/>
      <c r="E11" s="920"/>
      <c r="F11" s="920"/>
      <c r="G11" s="921"/>
      <c r="H11" s="150"/>
      <c r="I11" s="157" t="s">
        <v>324</v>
      </c>
      <c r="J11" s="891" t="s">
        <v>329</v>
      </c>
      <c r="K11" s="892"/>
      <c r="L11" s="892"/>
      <c r="M11" s="892"/>
      <c r="N11" s="892"/>
      <c r="O11" s="893"/>
      <c r="P11" s="894"/>
    </row>
    <row r="12" spans="1:32" ht="15" thickBot="1">
      <c r="A12" s="427"/>
      <c r="H12" s="150"/>
      <c r="I12" s="428" t="s">
        <v>325</v>
      </c>
      <c r="J12" s="891" t="s">
        <v>330</v>
      </c>
      <c r="K12" s="892"/>
      <c r="L12" s="892"/>
      <c r="M12" s="892"/>
      <c r="N12" s="892"/>
      <c r="O12" s="893"/>
      <c r="P12" s="894"/>
    </row>
    <row r="13" spans="1:32">
      <c r="A13" s="901" t="s">
        <v>106</v>
      </c>
      <c r="B13" s="902"/>
      <c r="C13" s="902"/>
      <c r="D13" s="902"/>
      <c r="E13" s="902"/>
      <c r="F13" s="902"/>
      <c r="G13" s="903"/>
      <c r="H13" s="150"/>
      <c r="I13" s="159" t="s">
        <v>326</v>
      </c>
      <c r="J13" s="907" t="s">
        <v>105</v>
      </c>
      <c r="K13" s="908"/>
      <c r="L13" s="908"/>
      <c r="M13" s="908"/>
      <c r="N13" s="908"/>
      <c r="O13" s="908"/>
      <c r="P13" s="909"/>
    </row>
    <row r="14" spans="1:32">
      <c r="A14" s="904" t="s">
        <v>107</v>
      </c>
      <c r="B14" s="905"/>
      <c r="C14" s="905"/>
      <c r="D14" s="905"/>
      <c r="E14" s="905"/>
      <c r="F14" s="905"/>
      <c r="G14" s="906"/>
      <c r="H14" s="150"/>
      <c r="I14" s="157" t="s">
        <v>327</v>
      </c>
      <c r="J14" s="891" t="s">
        <v>329</v>
      </c>
      <c r="K14" s="892"/>
      <c r="L14" s="892"/>
      <c r="M14" s="892"/>
      <c r="N14" s="892"/>
      <c r="O14" s="893"/>
      <c r="P14" s="894"/>
    </row>
    <row r="15" spans="1:32" ht="15" thickBot="1">
      <c r="A15" s="910" t="s">
        <v>108</v>
      </c>
      <c r="B15" s="911"/>
      <c r="C15" s="911"/>
      <c r="D15" s="911"/>
      <c r="E15" s="911"/>
      <c r="F15" s="911"/>
      <c r="G15" s="912"/>
      <c r="H15" s="150"/>
      <c r="I15" s="428" t="s">
        <v>328</v>
      </c>
      <c r="J15" s="895" t="s">
        <v>330</v>
      </c>
      <c r="K15" s="896"/>
      <c r="L15" s="896"/>
      <c r="M15" s="896"/>
      <c r="N15" s="896"/>
      <c r="O15" s="896"/>
      <c r="P15" s="897"/>
    </row>
    <row r="16" spans="1:32" ht="15" thickBot="1">
      <c r="A16" s="155" t="s">
        <v>3</v>
      </c>
      <c r="B16" s="913" t="s">
        <v>104</v>
      </c>
      <c r="C16" s="914"/>
      <c r="D16" s="914"/>
      <c r="E16" s="914"/>
      <c r="F16" s="914"/>
      <c r="G16" s="915"/>
      <c r="H16" s="150"/>
    </row>
    <row r="17" spans="1:18">
      <c r="A17" s="165" t="s">
        <v>320</v>
      </c>
      <c r="B17" s="888" t="s">
        <v>110</v>
      </c>
      <c r="C17" s="916"/>
      <c r="D17" s="916"/>
      <c r="E17" s="916"/>
      <c r="F17" s="916"/>
      <c r="G17" s="917"/>
      <c r="H17" s="150"/>
      <c r="I17" s="901" t="s">
        <v>331</v>
      </c>
      <c r="J17" s="902"/>
      <c r="K17" s="902"/>
      <c r="L17" s="902"/>
      <c r="M17" s="902"/>
      <c r="N17" s="902"/>
      <c r="O17" s="902"/>
      <c r="P17" s="903"/>
    </row>
    <row r="18" spans="1:18" ht="15" thickBot="1">
      <c r="A18" s="898" t="s">
        <v>321</v>
      </c>
      <c r="B18" s="899"/>
      <c r="C18" s="899"/>
      <c r="D18" s="899"/>
      <c r="E18" s="899"/>
      <c r="F18" s="899"/>
      <c r="G18" s="900"/>
      <c r="H18" s="150"/>
      <c r="I18" s="910" t="s">
        <v>103</v>
      </c>
      <c r="J18" s="911"/>
      <c r="K18" s="911"/>
      <c r="L18" s="911"/>
      <c r="M18" s="911"/>
      <c r="N18" s="911"/>
      <c r="O18" s="911"/>
      <c r="P18" s="912"/>
      <c r="R18" s="150"/>
    </row>
    <row r="19" spans="1:18" ht="15" thickBot="1">
      <c r="A19" s="531"/>
      <c r="B19" s="531"/>
      <c r="C19" s="531"/>
      <c r="D19" s="531"/>
      <c r="E19" s="531"/>
      <c r="F19" s="531"/>
      <c r="G19" s="531"/>
      <c r="H19" s="150"/>
      <c r="I19" s="155" t="s">
        <v>3</v>
      </c>
      <c r="J19" s="913" t="s">
        <v>104</v>
      </c>
      <c r="K19" s="914"/>
      <c r="L19" s="914"/>
      <c r="M19" s="914"/>
      <c r="N19" s="914"/>
      <c r="O19" s="914"/>
      <c r="P19" s="915"/>
      <c r="R19" s="150"/>
    </row>
    <row r="20" spans="1:18">
      <c r="H20" s="150"/>
      <c r="I20" s="156" t="s">
        <v>332</v>
      </c>
      <c r="J20" s="907" t="s">
        <v>337</v>
      </c>
      <c r="K20" s="908"/>
      <c r="L20" s="908"/>
      <c r="M20" s="908"/>
      <c r="N20" s="908"/>
      <c r="O20" s="908"/>
      <c r="P20" s="909"/>
      <c r="R20" s="150"/>
    </row>
    <row r="21" spans="1:18">
      <c r="H21" s="150"/>
      <c r="I21" s="157" t="s">
        <v>333</v>
      </c>
      <c r="J21" s="891" t="s">
        <v>338</v>
      </c>
      <c r="K21" s="892"/>
      <c r="L21" s="892"/>
      <c r="M21" s="892"/>
      <c r="N21" s="892"/>
      <c r="O21" s="893"/>
      <c r="P21" s="894"/>
      <c r="R21" s="150"/>
    </row>
    <row r="22" spans="1:18" ht="15" thickBot="1">
      <c r="A22" s="150"/>
      <c r="H22" s="150"/>
      <c r="I22" s="428" t="s">
        <v>334</v>
      </c>
      <c r="J22" s="891" t="s">
        <v>339</v>
      </c>
      <c r="K22" s="892"/>
      <c r="L22" s="892"/>
      <c r="M22" s="892"/>
      <c r="N22" s="892"/>
      <c r="O22" s="893"/>
      <c r="P22" s="894"/>
      <c r="R22" s="150"/>
    </row>
    <row r="23" spans="1:18">
      <c r="H23" s="150"/>
      <c r="I23" s="159" t="s">
        <v>335</v>
      </c>
      <c r="J23" s="907" t="s">
        <v>340</v>
      </c>
      <c r="K23" s="908"/>
      <c r="L23" s="908"/>
      <c r="M23" s="908"/>
      <c r="N23" s="908"/>
      <c r="O23" s="908"/>
      <c r="P23" s="909"/>
      <c r="R23" s="150"/>
    </row>
    <row r="24" spans="1:18" ht="15" thickBot="1">
      <c r="H24" s="150"/>
      <c r="I24" s="428" t="s">
        <v>336</v>
      </c>
      <c r="J24" s="895" t="s">
        <v>341</v>
      </c>
      <c r="K24" s="918"/>
      <c r="L24" s="918"/>
      <c r="M24" s="918"/>
      <c r="N24" s="918"/>
      <c r="O24" s="918"/>
      <c r="P24" s="897"/>
      <c r="R24" s="150"/>
    </row>
    <row r="25" spans="1:18">
      <c r="H25" s="150"/>
      <c r="R25" s="150"/>
    </row>
    <row r="26" spans="1:18">
      <c r="H26" s="150"/>
    </row>
    <row r="27" spans="1:18">
      <c r="H27" s="150"/>
    </row>
    <row r="28" spans="1:18">
      <c r="H28" s="150"/>
    </row>
    <row r="29" spans="1:18">
      <c r="H29" s="150"/>
    </row>
    <row r="30" spans="1:18">
      <c r="H30" s="150"/>
    </row>
    <row r="31" spans="1:18">
      <c r="H31" s="150"/>
      <c r="I31" s="426"/>
      <c r="J31" s="426"/>
      <c r="K31" s="426"/>
      <c r="L31" s="426"/>
      <c r="M31" s="426"/>
      <c r="N31" s="426"/>
      <c r="O31" s="426"/>
      <c r="P31" s="426"/>
    </row>
    <row r="32" spans="1:18">
      <c r="H32" s="150"/>
    </row>
    <row r="33" spans="8:16">
      <c r="H33" s="150"/>
    </row>
    <row r="34" spans="8:16">
      <c r="H34" s="150"/>
    </row>
    <row r="36" spans="8:16">
      <c r="I36" s="426"/>
      <c r="J36" s="426"/>
      <c r="K36" s="426"/>
      <c r="L36" s="426"/>
      <c r="M36" s="426"/>
      <c r="N36" s="426"/>
      <c r="O36" s="426"/>
      <c r="P36" s="426"/>
    </row>
    <row r="37" spans="8:16">
      <c r="I37" s="426"/>
      <c r="J37" s="426"/>
      <c r="K37" s="426"/>
      <c r="L37" s="426"/>
      <c r="M37" s="426"/>
      <c r="N37" s="426"/>
      <c r="O37" s="426"/>
      <c r="P37" s="426"/>
    </row>
    <row r="39" spans="8:16">
      <c r="H39" s="412"/>
      <c r="I39" s="161"/>
      <c r="J39" s="413"/>
      <c r="K39" s="413"/>
      <c r="L39" s="413"/>
      <c r="M39" s="413"/>
      <c r="N39" s="413"/>
      <c r="O39" s="413"/>
      <c r="P39" s="413"/>
    </row>
    <row r="40" spans="8:16">
      <c r="H40" s="424"/>
    </row>
    <row r="41" spans="8:16">
      <c r="H41" s="425"/>
    </row>
  </sheetData>
  <sheetProtection algorithmName="SHA-512" hashValue="FZSu2haR5AR09uMa0/sPUORip0aEzMeyENXfovEYvawCP8aIFkMUrW6Z5UnJK6F8MyaFSvcihW3ILOjJA7Lj1A==" saltValue="pVF5SQT++I8tOCT30WA0Wg==" spinCount="100000" sheet="1" objects="1" scenarios="1"/>
  <mergeCells count="33">
    <mergeCell ref="J22:P22"/>
    <mergeCell ref="J23:P23"/>
    <mergeCell ref="J11:P11"/>
    <mergeCell ref="I17:P17"/>
    <mergeCell ref="I18:P18"/>
    <mergeCell ref="J24:P24"/>
    <mergeCell ref="A1:B1"/>
    <mergeCell ref="C1:G1"/>
    <mergeCell ref="J1:L1"/>
    <mergeCell ref="A2:B2"/>
    <mergeCell ref="C2:G2"/>
    <mergeCell ref="B11:G11"/>
    <mergeCell ref="A8:G8"/>
    <mergeCell ref="B9:G9"/>
    <mergeCell ref="A7:G7"/>
    <mergeCell ref="I7:P7"/>
    <mergeCell ref="I8:P8"/>
    <mergeCell ref="J9:P9"/>
    <mergeCell ref="J19:P19"/>
    <mergeCell ref="J20:P20"/>
    <mergeCell ref="J21:P21"/>
    <mergeCell ref="B10:G10"/>
    <mergeCell ref="J14:P14"/>
    <mergeCell ref="J15:P15"/>
    <mergeCell ref="A18:G18"/>
    <mergeCell ref="A13:G13"/>
    <mergeCell ref="A14:G14"/>
    <mergeCell ref="J12:P12"/>
    <mergeCell ref="J13:P13"/>
    <mergeCell ref="A15:G15"/>
    <mergeCell ref="B16:G16"/>
    <mergeCell ref="B17:G17"/>
    <mergeCell ref="J10:P10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&amp;LRijksdienst voor Arbeidsvoorziening&amp;ROffice national de l'Emploi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23"/>
  <sheetViews>
    <sheetView showGridLines="0" zoomScaleNormal="100" workbookViewId="0">
      <pane ySplit="2" topLeftCell="A3" activePane="bottomLeft" state="frozen"/>
      <selection activeCell="G86" sqref="G86"/>
      <selection pane="bottomLeft" activeCell="A2" sqref="A2:B2"/>
    </sheetView>
  </sheetViews>
  <sheetFormatPr defaultColWidth="9.109375" defaultRowHeight="14.4"/>
  <cols>
    <col min="1" max="1" width="12.109375" customWidth="1"/>
    <col min="3" max="3" width="9.44140625" bestFit="1" customWidth="1"/>
    <col min="4" max="4" width="3.44140625" customWidth="1"/>
    <col min="5" max="5" width="10" customWidth="1"/>
    <col min="6" max="6" width="10.6640625" customWidth="1"/>
    <col min="7" max="7" width="13.44140625" customWidth="1"/>
    <col min="8" max="8" width="9.33203125" bestFit="1" customWidth="1"/>
    <col min="9" max="9" width="12.109375" customWidth="1"/>
    <col min="13" max="13" width="9.33203125" bestFit="1" customWidth="1"/>
    <col min="14" max="14" width="11.109375" bestFit="1" customWidth="1"/>
    <col min="15" max="16" width="1.44140625" customWidth="1"/>
    <col min="17" max="17" width="12" customWidth="1"/>
    <col min="18" max="19" width="9.109375" customWidth="1"/>
  </cols>
  <sheetData>
    <row r="1" spans="1:32" s="122" customFormat="1" ht="15.6">
      <c r="A1" s="633" t="s">
        <v>33</v>
      </c>
      <c r="B1" s="634"/>
      <c r="C1" s="646" t="s">
        <v>98</v>
      </c>
      <c r="D1" s="647"/>
      <c r="E1" s="647"/>
      <c r="F1" s="647"/>
      <c r="G1" s="647"/>
      <c r="H1" s="120"/>
      <c r="I1" s="120"/>
      <c r="J1" s="653" t="s">
        <v>34</v>
      </c>
      <c r="K1" s="653"/>
      <c r="L1" s="653"/>
      <c r="M1" s="498">
        <f>Basisbedragen!$H$2</f>
        <v>1.7410000000000001</v>
      </c>
      <c r="P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22" customFormat="1" ht="15.75" customHeight="1">
      <c r="A2" s="635">
        <v>45689</v>
      </c>
      <c r="B2" s="636"/>
      <c r="C2" s="644" t="s">
        <v>99</v>
      </c>
      <c r="D2" s="645"/>
      <c r="E2" s="645"/>
      <c r="F2" s="645"/>
      <c r="G2" s="645"/>
      <c r="H2" s="120"/>
      <c r="I2" s="120"/>
      <c r="J2" s="123"/>
      <c r="K2" s="124"/>
      <c r="L2" s="109"/>
      <c r="M2" s="121"/>
      <c r="N2" s="121"/>
      <c r="O2" s="121"/>
      <c r="P2"/>
      <c r="Q2" s="12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5" spans="1:32">
      <c r="A5" s="653" t="s">
        <v>239</v>
      </c>
      <c r="B5" s="653"/>
      <c r="C5" s="653"/>
      <c r="D5" s="653"/>
      <c r="E5" s="653"/>
      <c r="F5" s="653"/>
      <c r="G5" s="653"/>
      <c r="H5" s="653"/>
      <c r="I5" s="653"/>
    </row>
    <row r="6" spans="1:32" ht="15" thickBot="1">
      <c r="B6" s="961" t="s">
        <v>241</v>
      </c>
      <c r="C6" s="961"/>
      <c r="D6" s="961"/>
      <c r="E6" s="961"/>
      <c r="F6" s="961"/>
      <c r="G6" s="961"/>
      <c r="H6" s="961"/>
      <c r="I6" s="961"/>
      <c r="K6" s="961" t="s">
        <v>240</v>
      </c>
      <c r="L6" s="961"/>
      <c r="M6" s="961"/>
      <c r="N6" s="961"/>
      <c r="O6" s="319"/>
      <c r="Q6" s="319"/>
      <c r="R6" s="319"/>
      <c r="S6" s="319"/>
    </row>
    <row r="7" spans="1:32" ht="30" customHeight="1" thickBot="1">
      <c r="B7" s="955" t="s">
        <v>139</v>
      </c>
      <c r="C7" s="956"/>
      <c r="D7" s="956"/>
      <c r="E7" s="957"/>
      <c r="F7" s="958" t="s">
        <v>140</v>
      </c>
      <c r="G7" s="959"/>
      <c r="H7" s="960" t="s">
        <v>34</v>
      </c>
      <c r="I7" s="951"/>
      <c r="K7" s="968" t="s">
        <v>141</v>
      </c>
      <c r="L7" s="969"/>
      <c r="M7" s="969"/>
      <c r="N7" s="970"/>
      <c r="O7" s="332"/>
      <c r="P7" s="150"/>
      <c r="Q7" s="150"/>
      <c r="R7" s="150"/>
      <c r="S7" s="150"/>
      <c r="T7" s="150"/>
    </row>
    <row r="8" spans="1:32" ht="15" thickBot="1">
      <c r="B8" s="262" t="s">
        <v>100</v>
      </c>
      <c r="C8" s="320">
        <f>ROUND(Basisbedragen!C83*H8,2)</f>
        <v>2338.16</v>
      </c>
      <c r="D8" s="263"/>
      <c r="E8" s="264"/>
      <c r="F8" s="940">
        <v>189.02</v>
      </c>
      <c r="G8" s="940"/>
      <c r="H8" s="962">
        <f>Basisbedragen!H6</f>
        <v>1.7803</v>
      </c>
      <c r="I8" s="963"/>
      <c r="K8" s="952">
        <v>28.36</v>
      </c>
      <c r="L8" s="953"/>
      <c r="M8" s="953"/>
      <c r="N8" s="954"/>
      <c r="O8" s="333"/>
      <c r="Q8" s="514"/>
      <c r="T8" s="150"/>
    </row>
    <row r="9" spans="1:32">
      <c r="B9" s="167" t="s">
        <v>101</v>
      </c>
      <c r="C9" s="321">
        <f>C8</f>
        <v>2338.16</v>
      </c>
      <c r="D9" s="168" t="s">
        <v>100</v>
      </c>
      <c r="E9" s="323">
        <f>C10</f>
        <v>4676.3100000000004</v>
      </c>
      <c r="F9" s="966">
        <v>141.75</v>
      </c>
      <c r="G9" s="966"/>
      <c r="H9" s="962"/>
      <c r="I9" s="963"/>
      <c r="Q9" s="150"/>
      <c r="T9" s="150"/>
    </row>
    <row r="10" spans="1:32" ht="15" thickBot="1">
      <c r="B10" s="162" t="s">
        <v>101</v>
      </c>
      <c r="C10" s="322">
        <f>ROUND(Basisbedragen!C84*H8,2)</f>
        <v>4676.3100000000004</v>
      </c>
      <c r="D10" s="163"/>
      <c r="E10" s="164"/>
      <c r="F10" s="967">
        <v>28.36</v>
      </c>
      <c r="G10" s="967"/>
      <c r="H10" s="964"/>
      <c r="I10" s="965"/>
      <c r="Q10" s="150"/>
      <c r="T10" s="150"/>
    </row>
    <row r="11" spans="1:32">
      <c r="B11" s="153"/>
    </row>
    <row r="12" spans="1:32">
      <c r="A12" s="653" t="s">
        <v>102</v>
      </c>
      <c r="B12" s="653"/>
      <c r="C12" s="653"/>
      <c r="D12" s="653"/>
      <c r="E12" s="653"/>
    </row>
    <row r="13" spans="1:32" ht="15" thickBot="1">
      <c r="A13" s="148"/>
      <c r="B13" s="148"/>
      <c r="C13" s="148"/>
      <c r="D13" s="148"/>
      <c r="E13" s="160"/>
    </row>
    <row r="14" spans="1:32" ht="15" thickBot="1">
      <c r="B14" s="949" t="s">
        <v>144</v>
      </c>
      <c r="C14" s="950"/>
      <c r="D14" s="950"/>
      <c r="E14" s="951"/>
    </row>
    <row r="15" spans="1:32">
      <c r="B15" s="941" t="s">
        <v>142</v>
      </c>
      <c r="C15" s="942"/>
      <c r="D15" s="945">
        <f>ROUND(Basisbedragen!C85*$M$1,2)</f>
        <v>44.87</v>
      </c>
      <c r="E15" s="946"/>
      <c r="F15" s="241"/>
      <c r="G15" s="150"/>
      <c r="H15" s="150"/>
    </row>
    <row r="16" spans="1:32" ht="15" thickBot="1">
      <c r="B16" s="943" t="s">
        <v>143</v>
      </c>
      <c r="C16" s="944"/>
      <c r="D16" s="947">
        <f>ROUND(D15/2,2)</f>
        <v>22.44</v>
      </c>
      <c r="E16" s="948"/>
      <c r="F16" s="551"/>
      <c r="G16" s="453"/>
      <c r="H16" s="150"/>
    </row>
    <row r="17" spans="1:20">
      <c r="F17" s="318"/>
      <c r="G17" s="318"/>
    </row>
    <row r="18" spans="1:20">
      <c r="A18" s="931" t="s">
        <v>246</v>
      </c>
      <c r="B18" s="931"/>
      <c r="C18" s="931"/>
      <c r="I18" s="150"/>
      <c r="P18" s="150"/>
      <c r="T18" s="150"/>
    </row>
    <row r="19" spans="1:20" ht="15" thickBot="1">
      <c r="I19" s="150"/>
      <c r="P19" s="150"/>
      <c r="T19" s="150"/>
    </row>
    <row r="20" spans="1:20" ht="27.6" thickBot="1">
      <c r="F20" s="330" t="s">
        <v>250</v>
      </c>
      <c r="G20" s="331" t="s">
        <v>251</v>
      </c>
      <c r="I20" s="150"/>
      <c r="P20" s="150"/>
      <c r="T20" s="150"/>
    </row>
    <row r="21" spans="1:20">
      <c r="B21" s="934" t="s">
        <v>247</v>
      </c>
      <c r="C21" s="935"/>
      <c r="D21" s="935"/>
      <c r="E21" s="936"/>
      <c r="F21" s="437">
        <f>G21/12</f>
        <v>1776.0725</v>
      </c>
      <c r="G21" s="440">
        <f>ROUND(Basisbedragen!C68*$M$1,2)</f>
        <v>21312.87</v>
      </c>
      <c r="H21" s="241"/>
      <c r="I21" s="150"/>
      <c r="P21" s="150"/>
      <c r="T21" s="150"/>
    </row>
    <row r="22" spans="1:20">
      <c r="B22" s="776" t="s">
        <v>248</v>
      </c>
      <c r="C22" s="932"/>
      <c r="D22" s="932"/>
      <c r="E22" s="933"/>
      <c r="F22" s="438">
        <f>G22/12</f>
        <v>1314.2008333333333</v>
      </c>
      <c r="G22" s="441">
        <f>ROUND(Basisbedragen!C69*$M$1,2)</f>
        <v>15770.41</v>
      </c>
      <c r="H22" s="241"/>
      <c r="I22" s="150"/>
      <c r="P22" s="150"/>
      <c r="T22" s="150"/>
    </row>
    <row r="23" spans="1:20" ht="15" thickBot="1">
      <c r="B23" s="937" t="s">
        <v>249</v>
      </c>
      <c r="C23" s="938"/>
      <c r="D23" s="938"/>
      <c r="E23" s="939"/>
      <c r="F23" s="439">
        <f>G23/12</f>
        <v>876.13333333333333</v>
      </c>
      <c r="G23" s="442">
        <f>ROUND(Basisbedragen!C70*$M$1,2)</f>
        <v>10513.6</v>
      </c>
      <c r="H23" s="241"/>
      <c r="I23" s="150"/>
      <c r="P23" s="150"/>
      <c r="T23" s="150"/>
    </row>
  </sheetData>
  <sheetProtection algorithmName="SHA-512" hashValue="HRFKNDxKwtG0qVwemfgc/lvojY9gA0rvmdrj5wxDWhAofQBbHClNvst2aA9kekUpgdMEfC22OwDhMXxWu65XJA==" saltValue="wLE++Yhsx35srAeYUx/XCQ==" spinCount="100000" sheet="1" objects="1" scenarios="1"/>
  <mergeCells count="27">
    <mergeCell ref="K8:N8"/>
    <mergeCell ref="J1:L1"/>
    <mergeCell ref="A2:B2"/>
    <mergeCell ref="C2:G2"/>
    <mergeCell ref="A5:I5"/>
    <mergeCell ref="B7:E7"/>
    <mergeCell ref="F7:G7"/>
    <mergeCell ref="H7:I7"/>
    <mergeCell ref="K6:N6"/>
    <mergeCell ref="B6:I6"/>
    <mergeCell ref="H8:I10"/>
    <mergeCell ref="F9:G9"/>
    <mergeCell ref="F10:G10"/>
    <mergeCell ref="K7:N7"/>
    <mergeCell ref="A18:C18"/>
    <mergeCell ref="B22:E22"/>
    <mergeCell ref="B21:E21"/>
    <mergeCell ref="B23:E23"/>
    <mergeCell ref="A1:B1"/>
    <mergeCell ref="C1:G1"/>
    <mergeCell ref="F8:G8"/>
    <mergeCell ref="B15:C15"/>
    <mergeCell ref="A12:E12"/>
    <mergeCell ref="B16:C16"/>
    <mergeCell ref="D15:E15"/>
    <mergeCell ref="D16:E16"/>
    <mergeCell ref="B14:E1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&amp;LRijksdienst voor Arbeidsvoorziening&amp;ROffice national de l'Emploi</oddFooter>
  </headerFooter>
  <colBreaks count="1" manualBreakCount="1">
    <brk id="1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27"/>
  <sheetViews>
    <sheetView showGridLines="0" zoomScaleNormal="100" workbookViewId="0">
      <pane ySplit="2" topLeftCell="A3" activePane="bottomLeft" state="frozen"/>
      <selection activeCell="E22" sqref="E22:K23"/>
      <selection pane="bottomLeft" activeCell="A2" sqref="A2:B2"/>
    </sheetView>
  </sheetViews>
  <sheetFormatPr defaultColWidth="9.109375" defaultRowHeight="14.4"/>
  <cols>
    <col min="2" max="2" width="5.33203125" customWidth="1"/>
    <col min="3" max="3" width="11.109375" customWidth="1"/>
    <col min="4" max="4" width="8" customWidth="1"/>
    <col min="5" max="5" width="16.33203125" customWidth="1"/>
    <col min="6" max="6" width="3.44140625" customWidth="1"/>
    <col min="7" max="7" width="9.33203125" bestFit="1" customWidth="1"/>
    <col min="8" max="8" width="2.33203125" customWidth="1"/>
    <col min="9" max="9" width="7" customWidth="1"/>
    <col min="10" max="10" width="5" style="170" customWidth="1"/>
    <col min="11" max="11" width="8.109375" customWidth="1"/>
    <col min="12" max="12" width="26" customWidth="1"/>
    <col min="13" max="13" width="7" customWidth="1"/>
    <col min="14" max="14" width="9.33203125" bestFit="1" customWidth="1"/>
    <col min="16" max="16" width="9.44140625" bestFit="1" customWidth="1"/>
    <col min="17" max="17" width="18.5546875" customWidth="1"/>
    <col min="19" max="19" width="6" customWidth="1"/>
  </cols>
  <sheetData>
    <row r="1" spans="1:32" s="122" customFormat="1" ht="15.6">
      <c r="A1" s="633" t="s">
        <v>33</v>
      </c>
      <c r="B1" s="634"/>
      <c r="C1" s="971" t="s">
        <v>135</v>
      </c>
      <c r="D1" s="645"/>
      <c r="E1" s="378"/>
      <c r="F1" s="378"/>
      <c r="G1" s="378"/>
      <c r="H1" s="378"/>
      <c r="I1" s="120"/>
      <c r="J1" s="120"/>
      <c r="K1" s="653" t="s">
        <v>34</v>
      </c>
      <c r="L1" s="653"/>
      <c r="M1" s="653"/>
      <c r="N1" s="498">
        <f>Basisbedragen!$H$2</f>
        <v>1.7410000000000001</v>
      </c>
      <c r="P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22" customFormat="1" ht="15.75" customHeight="1">
      <c r="A2" s="635">
        <v>45689</v>
      </c>
      <c r="B2" s="636"/>
      <c r="C2" s="971" t="s">
        <v>136</v>
      </c>
      <c r="D2" s="645"/>
      <c r="E2" s="377"/>
      <c r="F2" s="377"/>
      <c r="G2" s="377"/>
      <c r="H2" s="377"/>
      <c r="I2" s="120"/>
      <c r="J2" s="120"/>
      <c r="K2" s="123"/>
      <c r="L2" s="124"/>
      <c r="M2" s="109"/>
      <c r="N2" s="121"/>
      <c r="O2" s="121"/>
      <c r="P2"/>
      <c r="Q2" s="12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6" spans="1:32">
      <c r="B6" s="972" t="s">
        <v>117</v>
      </c>
      <c r="C6" s="972"/>
      <c r="D6" s="972"/>
      <c r="E6" s="972"/>
      <c r="F6" s="972"/>
      <c r="G6" s="972"/>
      <c r="H6" s="972"/>
      <c r="I6" s="972"/>
      <c r="J6" s="972"/>
      <c r="K6" s="972"/>
      <c r="L6" s="972"/>
    </row>
    <row r="7" spans="1:32">
      <c r="B7" s="972" t="s">
        <v>118</v>
      </c>
      <c r="C7" s="972"/>
      <c r="D7" s="972"/>
      <c r="E7" s="972"/>
      <c r="F7" s="972"/>
      <c r="G7" s="972"/>
      <c r="H7" s="972"/>
      <c r="I7" s="972"/>
      <c r="J7" s="972"/>
      <c r="K7" s="972"/>
      <c r="L7" s="972"/>
    </row>
    <row r="8" spans="1:32" ht="15" thickBot="1">
      <c r="B8" s="118"/>
      <c r="C8" s="118"/>
      <c r="D8" s="118"/>
      <c r="E8" s="118"/>
      <c r="F8" s="118"/>
      <c r="G8" s="177"/>
      <c r="H8" s="177"/>
      <c r="I8" s="118"/>
      <c r="J8" s="118"/>
      <c r="K8" s="118"/>
      <c r="L8" s="118"/>
    </row>
    <row r="9" spans="1:32">
      <c r="B9" s="178" t="s">
        <v>138</v>
      </c>
      <c r="C9" s="973" t="s">
        <v>119</v>
      </c>
      <c r="D9" s="974"/>
      <c r="E9" s="975"/>
      <c r="F9" s="178" t="s">
        <v>120</v>
      </c>
      <c r="G9" s="976" t="s">
        <v>121</v>
      </c>
      <c r="H9" s="976"/>
      <c r="I9" s="976"/>
      <c r="J9" s="976"/>
      <c r="K9" s="976"/>
      <c r="L9" s="977"/>
      <c r="N9" s="172"/>
      <c r="O9" s="173"/>
      <c r="P9" s="173"/>
      <c r="Q9" s="173"/>
      <c r="R9" s="150"/>
      <c r="S9" s="150"/>
    </row>
    <row r="10" spans="1:32" ht="15" thickBot="1">
      <c r="B10" s="180"/>
      <c r="C10" s="978" t="s">
        <v>122</v>
      </c>
      <c r="D10" s="979"/>
      <c r="E10" s="980"/>
      <c r="F10" s="179"/>
      <c r="G10" s="981" t="s">
        <v>123</v>
      </c>
      <c r="H10" s="981"/>
      <c r="I10" s="982"/>
      <c r="J10" s="982"/>
      <c r="K10" s="982"/>
      <c r="L10" s="983"/>
      <c r="N10" s="987" t="s">
        <v>124</v>
      </c>
      <c r="O10" s="985"/>
      <c r="P10" s="985"/>
      <c r="Q10" s="985"/>
      <c r="R10" s="985"/>
      <c r="S10" s="174"/>
      <c r="T10" s="175"/>
      <c r="U10" s="176"/>
    </row>
    <row r="11" spans="1:32">
      <c r="B11" s="308" t="s">
        <v>125</v>
      </c>
      <c r="C11" s="557">
        <f>ROUND(AndereBedrWLH_AutresMontCHOM!$O$8*Basisbedragen!$C$88,2)</f>
        <v>2175.25</v>
      </c>
      <c r="D11" s="558"/>
      <c r="E11" s="559"/>
      <c r="F11" s="558"/>
      <c r="G11" s="557">
        <f>ROUND(AndereBedrWLH_AutresMontCHOM!$O$8*Basisbedragen!$C$89/100,2)+ROUND(AndereBedrWLH_AutresMontCHOM!$O$8*Basisbedragen!$C$90/100,2)</f>
        <v>283.21000000000004</v>
      </c>
      <c r="H11" s="557"/>
      <c r="I11" s="558"/>
      <c r="J11" s="558"/>
      <c r="K11" s="558"/>
      <c r="L11" s="559"/>
      <c r="N11" s="985"/>
      <c r="O11" s="985"/>
      <c r="P11" s="985"/>
      <c r="Q11" s="985"/>
      <c r="R11" s="985"/>
      <c r="T11" s="175"/>
      <c r="U11" s="176"/>
    </row>
    <row r="12" spans="1:32" s="512" customFormat="1">
      <c r="B12" s="546" t="s">
        <v>101</v>
      </c>
      <c r="C12" s="555">
        <f>C11</f>
        <v>2175.25</v>
      </c>
      <c r="D12" s="560" t="s">
        <v>137</v>
      </c>
      <c r="E12" s="561">
        <f>ROUND(AndereBedrWLH_AutresMontCHOM!$O$8*Basisbedragen!$C$87,2)</f>
        <v>2777.83</v>
      </c>
      <c r="F12" s="562"/>
      <c r="G12" s="563">
        <f>G11</f>
        <v>283.21000000000004</v>
      </c>
      <c r="H12" s="564" t="s">
        <v>263</v>
      </c>
      <c r="I12" s="565">
        <f>ROUND(ROUND(AndereBedrWLH_AutresMontCHOM!$O$8*Basisbedragen!$C$90/100,2)/(Bonus!$E$12-Bonus!$C$12),4)</f>
        <v>0.26989999999999997</v>
      </c>
      <c r="J12" s="566" t="s">
        <v>126</v>
      </c>
      <c r="K12" s="567">
        <f>C11</f>
        <v>2175.25</v>
      </c>
      <c r="L12" s="568" t="s">
        <v>127</v>
      </c>
      <c r="N12" s="513"/>
      <c r="O12" s="513"/>
      <c r="P12" s="513"/>
      <c r="Q12" s="513"/>
      <c r="R12" s="513"/>
      <c r="S12"/>
      <c r="T12" s="175"/>
      <c r="U12" s="176"/>
    </row>
    <row r="13" spans="1:32" ht="15" customHeight="1">
      <c r="B13" s="380" t="s">
        <v>101</v>
      </c>
      <c r="C13" s="569">
        <f>E12</f>
        <v>2777.83</v>
      </c>
      <c r="D13" s="570" t="s">
        <v>137</v>
      </c>
      <c r="E13" s="496">
        <f>ROUND(ROUND(Basisbedragen!$C$8*Basisbedragen!$H$4,2)*Basisbedragen!$C$86,2)</f>
        <v>3271.48</v>
      </c>
      <c r="F13" s="571"/>
      <c r="G13" s="572">
        <f>ROUND(AndereBedrWLH_AutresMontCHOM!$O$8*Basisbedragen!$C$89/100,2)</f>
        <v>120.59</v>
      </c>
      <c r="H13" s="572" t="s">
        <v>263</v>
      </c>
      <c r="I13" s="573">
        <f>ROUND(ROUND(AndereBedrWLH_AutresMontCHOM!$O$8*Basisbedragen!$C$89/100,2)/(Bonus!$E$13-Bonus!$C$13),4)</f>
        <v>0.24429999999999999</v>
      </c>
      <c r="J13" s="571" t="s">
        <v>126</v>
      </c>
      <c r="K13" s="574">
        <f>C13</f>
        <v>2777.83</v>
      </c>
      <c r="L13" s="575" t="s">
        <v>127</v>
      </c>
      <c r="N13" s="986" t="s">
        <v>128</v>
      </c>
      <c r="O13" s="986"/>
      <c r="P13" s="986"/>
      <c r="Q13" s="986"/>
      <c r="R13" s="986"/>
      <c r="S13" s="174"/>
      <c r="T13" s="175"/>
      <c r="U13" s="176"/>
    </row>
    <row r="14" spans="1:32" ht="15" thickBot="1">
      <c r="B14" s="386" t="s">
        <v>101</v>
      </c>
      <c r="C14" s="576">
        <f>E13</f>
        <v>3271.48</v>
      </c>
      <c r="D14" s="577"/>
      <c r="E14" s="578"/>
      <c r="F14" s="577"/>
      <c r="G14" s="576">
        <v>0</v>
      </c>
      <c r="H14" s="576"/>
      <c r="I14" s="577"/>
      <c r="J14" s="577"/>
      <c r="K14" s="577"/>
      <c r="L14" s="578"/>
      <c r="N14" s="986"/>
      <c r="O14" s="986"/>
      <c r="P14" s="986"/>
      <c r="Q14" s="986"/>
      <c r="R14" s="986"/>
      <c r="S14" s="150"/>
    </row>
    <row r="15" spans="1:32">
      <c r="B15" s="118"/>
      <c r="C15" s="118"/>
      <c r="D15" s="118"/>
      <c r="E15" s="118"/>
      <c r="F15" s="118"/>
      <c r="G15" s="177"/>
      <c r="H15" s="177"/>
      <c r="I15" s="118"/>
      <c r="J15" s="118"/>
      <c r="K15" s="118"/>
      <c r="L15" s="118"/>
      <c r="N15" s="175"/>
      <c r="O15" s="170"/>
      <c r="P15" s="170"/>
      <c r="Q15" s="170"/>
      <c r="R15" s="150"/>
      <c r="S15" s="150"/>
    </row>
    <row r="16" spans="1:32">
      <c r="B16" s="972" t="s">
        <v>129</v>
      </c>
      <c r="C16" s="972"/>
      <c r="D16" s="972"/>
      <c r="E16" s="972"/>
      <c r="F16" s="972"/>
      <c r="G16" s="972"/>
      <c r="H16" s="972"/>
      <c r="I16" s="972"/>
      <c r="J16" s="972"/>
      <c r="K16" s="972"/>
      <c r="L16" s="972"/>
    </row>
    <row r="17" spans="2:22">
      <c r="B17" s="972" t="s">
        <v>130</v>
      </c>
      <c r="C17" s="972"/>
      <c r="D17" s="972"/>
      <c r="E17" s="972"/>
      <c r="F17" s="972"/>
      <c r="G17" s="972"/>
      <c r="H17" s="972"/>
      <c r="I17" s="972"/>
      <c r="J17" s="972"/>
      <c r="K17" s="972"/>
      <c r="L17" s="972"/>
    </row>
    <row r="18" spans="2:22" ht="15" thickBot="1">
      <c r="B18" s="118"/>
      <c r="C18" s="118"/>
      <c r="D18" s="118"/>
      <c r="E18" s="118"/>
      <c r="F18" s="118"/>
      <c r="G18" s="177"/>
      <c r="H18" s="177"/>
      <c r="I18" s="118"/>
      <c r="J18" s="118"/>
      <c r="K18" s="118"/>
      <c r="L18" s="118"/>
    </row>
    <row r="19" spans="2:22">
      <c r="B19" s="178" t="s">
        <v>138</v>
      </c>
      <c r="C19" s="973" t="s">
        <v>119</v>
      </c>
      <c r="D19" s="988"/>
      <c r="E19" s="989"/>
      <c r="F19" s="178" t="s">
        <v>120</v>
      </c>
      <c r="G19" s="976" t="s">
        <v>121</v>
      </c>
      <c r="H19" s="976"/>
      <c r="I19" s="976"/>
      <c r="J19" s="976"/>
      <c r="K19" s="976"/>
      <c r="L19" s="977"/>
      <c r="N19" s="987" t="s">
        <v>131</v>
      </c>
      <c r="O19" s="990"/>
      <c r="P19" s="990"/>
      <c r="Q19" s="990"/>
      <c r="R19" s="150"/>
      <c r="S19" s="150"/>
    </row>
    <row r="20" spans="2:22" ht="15" thickBot="1">
      <c r="B20" s="180"/>
      <c r="C20" s="978" t="s">
        <v>122</v>
      </c>
      <c r="D20" s="979"/>
      <c r="E20" s="980"/>
      <c r="F20" s="179"/>
      <c r="G20" s="981" t="s">
        <v>123</v>
      </c>
      <c r="H20" s="981"/>
      <c r="I20" s="982"/>
      <c r="J20" s="982"/>
      <c r="K20" s="982"/>
      <c r="L20" s="983"/>
      <c r="N20" s="985"/>
      <c r="O20" s="985"/>
      <c r="P20" s="985"/>
      <c r="Q20" s="985"/>
      <c r="R20" s="174"/>
      <c r="S20" s="174"/>
      <c r="T20" s="175"/>
      <c r="U20" s="170"/>
      <c r="V20" s="170"/>
    </row>
    <row r="21" spans="2:22">
      <c r="B21" s="314" t="s">
        <v>125</v>
      </c>
      <c r="C21" s="309">
        <f>C11</f>
        <v>2175.25</v>
      </c>
      <c r="D21" s="310"/>
      <c r="E21" s="311"/>
      <c r="F21" s="310"/>
      <c r="G21" s="309">
        <f>ROUND(ROUND(AndereBedrWLH_AutresMontCHOM!$O$8*Basisbedragen!$C$89/100,2)*1.08,2)+ROUND(ROUND(AndereBedrWLH_AutresMontCHOM!$O$8*Basisbedragen!$C$90/100,2)*1.08,2)</f>
        <v>305.87</v>
      </c>
      <c r="H21" s="309"/>
      <c r="I21" s="310"/>
      <c r="J21" s="310"/>
      <c r="K21" s="310"/>
      <c r="L21" s="311"/>
      <c r="N21" s="984" t="s">
        <v>132</v>
      </c>
      <c r="O21" s="985"/>
      <c r="P21" s="985"/>
      <c r="Q21" s="985"/>
      <c r="R21" s="379"/>
      <c r="S21" s="379"/>
    </row>
    <row r="22" spans="2:22" ht="15" customHeight="1">
      <c r="B22" s="315" t="s">
        <v>101</v>
      </c>
      <c r="C22" s="526">
        <f>C12</f>
        <v>2175.25</v>
      </c>
      <c r="D22" s="382" t="s">
        <v>137</v>
      </c>
      <c r="E22" s="529">
        <f>E12</f>
        <v>2777.83</v>
      </c>
      <c r="F22" s="527"/>
      <c r="G22" s="530">
        <f>G21</f>
        <v>305.87</v>
      </c>
      <c r="H22" s="342" t="s">
        <v>263</v>
      </c>
      <c r="I22" s="556">
        <f>ROUND(ROUND(AndereBedrWLH_AutresMontCHOM!$O$8*Basisbedragen!$C$90/100*1.08,2)/(Bonus!$E$22-Bonus!$C$22),4)</f>
        <v>0.29139999999999999</v>
      </c>
      <c r="J22" s="383" t="s">
        <v>126</v>
      </c>
      <c r="K22" s="385">
        <f>$K$12</f>
        <v>2175.25</v>
      </c>
      <c r="L22" s="528" t="s">
        <v>127</v>
      </c>
      <c r="N22" s="986" t="s">
        <v>133</v>
      </c>
      <c r="O22" s="986"/>
      <c r="P22" s="986"/>
      <c r="Q22" s="986"/>
      <c r="R22" s="379"/>
      <c r="S22" s="379"/>
    </row>
    <row r="23" spans="2:22">
      <c r="B23" s="315" t="s">
        <v>101</v>
      </c>
      <c r="C23" s="381">
        <f>C13</f>
        <v>2777.83</v>
      </c>
      <c r="D23" s="382" t="s">
        <v>137</v>
      </c>
      <c r="E23" s="313">
        <f>E13</f>
        <v>3271.48</v>
      </c>
      <c r="F23" s="383"/>
      <c r="G23" s="526">
        <f>ROUND(G13*1.08,2)</f>
        <v>130.24</v>
      </c>
      <c r="H23" s="342" t="s">
        <v>263</v>
      </c>
      <c r="I23" s="384">
        <f>ROUND(ROUND(AndereBedrWLH_AutresMontCHOM!$O$8*Basisbedragen!$C$89/100*1.08,2)/(Bonus!$E$23-Bonus!$C$23),4)</f>
        <v>0.26379999999999998</v>
      </c>
      <c r="J23" s="383" t="s">
        <v>126</v>
      </c>
      <c r="K23" s="385">
        <f>$K$13</f>
        <v>2777.83</v>
      </c>
      <c r="L23" s="312" t="s">
        <v>127</v>
      </c>
      <c r="N23" s="986"/>
      <c r="O23" s="986"/>
      <c r="P23" s="986"/>
      <c r="Q23" s="986"/>
      <c r="R23" s="170"/>
      <c r="S23" s="379"/>
    </row>
    <row r="24" spans="2:22" ht="15" thickBot="1">
      <c r="B24" s="390" t="s">
        <v>101</v>
      </c>
      <c r="C24" s="387">
        <f>C14</f>
        <v>3271.48</v>
      </c>
      <c r="D24" s="388"/>
      <c r="E24" s="389"/>
      <c r="F24" s="388"/>
      <c r="G24" s="387">
        <v>0</v>
      </c>
      <c r="H24" s="387"/>
      <c r="I24" s="388"/>
      <c r="J24" s="388"/>
      <c r="K24" s="388"/>
      <c r="L24" s="389"/>
      <c r="M24" s="3"/>
      <c r="N24" s="984" t="s">
        <v>134</v>
      </c>
      <c r="O24" s="985"/>
      <c r="P24" s="985"/>
      <c r="Q24" s="985"/>
      <c r="R24" s="175"/>
      <c r="S24" s="175"/>
      <c r="T24" s="150"/>
      <c r="U24" s="150"/>
    </row>
    <row r="25" spans="2:22">
      <c r="D25" s="3"/>
      <c r="E25" s="3"/>
      <c r="F25" s="3"/>
      <c r="G25" s="3"/>
      <c r="H25" s="3"/>
      <c r="I25" s="3"/>
      <c r="J25" s="171"/>
      <c r="K25" s="3"/>
      <c r="L25" s="3"/>
      <c r="M25" s="3"/>
      <c r="N25" s="3"/>
      <c r="P25" s="170"/>
      <c r="Q25" s="170"/>
      <c r="R25" s="170"/>
      <c r="S25" s="170"/>
    </row>
    <row r="26" spans="2:22">
      <c r="D26" s="3"/>
      <c r="E26" s="3"/>
      <c r="F26" s="3"/>
      <c r="G26" s="3"/>
      <c r="H26" s="3"/>
      <c r="I26" s="3"/>
      <c r="J26" s="171"/>
      <c r="K26" s="3"/>
      <c r="L26" s="3"/>
      <c r="M26" s="3"/>
      <c r="N26" s="3"/>
    </row>
    <row r="27" spans="2:22">
      <c r="D27" s="3"/>
      <c r="E27" s="3"/>
      <c r="F27" s="3"/>
      <c r="G27" s="3"/>
      <c r="H27" s="3"/>
      <c r="I27" s="3"/>
      <c r="J27" s="171"/>
      <c r="K27" s="3"/>
      <c r="L27" s="3"/>
    </row>
  </sheetData>
  <sheetProtection algorithmName="SHA-512" hashValue="b1i7HLD1wj+nEoWesoPjfjo3D/F6n/v1h/3TRHus9SDSU6GM+1iHKw2NQk8yVsOlcpimPJ/wXbDCUTgDEr7pXw==" saltValue="3XaGKHj10z/zoYhAzrcAWw==" spinCount="100000" sheet="1" objects="1" scenarios="1"/>
  <mergeCells count="23">
    <mergeCell ref="C10:E10"/>
    <mergeCell ref="G10:L10"/>
    <mergeCell ref="N21:Q21"/>
    <mergeCell ref="N22:Q23"/>
    <mergeCell ref="N24:Q24"/>
    <mergeCell ref="N10:R11"/>
    <mergeCell ref="N13:R14"/>
    <mergeCell ref="B16:L16"/>
    <mergeCell ref="B17:L17"/>
    <mergeCell ref="C19:E19"/>
    <mergeCell ref="G19:L19"/>
    <mergeCell ref="N19:Q20"/>
    <mergeCell ref="C20:E20"/>
    <mergeCell ref="G20:L20"/>
    <mergeCell ref="C1:D1"/>
    <mergeCell ref="C2:D2"/>
    <mergeCell ref="B7:L7"/>
    <mergeCell ref="C9:E9"/>
    <mergeCell ref="G9:L9"/>
    <mergeCell ref="A1:B1"/>
    <mergeCell ref="K1:M1"/>
    <mergeCell ref="A2:B2"/>
    <mergeCell ref="B6:L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&amp;LRijksdienst voor Arbeidsvoorziening&amp;ROffice national de l'Emploi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BE84-1587-4148-B335-DA9A33061EE9}">
  <dimension ref="A1:I90"/>
  <sheetViews>
    <sheetView showGridLines="0" zoomScale="85" zoomScaleNormal="85" workbookViewId="0">
      <pane xSplit="1" ySplit="6" topLeftCell="B7" activePane="bottomRight" state="frozen"/>
      <selection activeCell="B2" sqref="B2:C2"/>
      <selection pane="topRight" activeCell="B2" sqref="B2:C2"/>
      <selection pane="bottomLeft" activeCell="B2" sqref="B2:C2"/>
      <selection pane="bottomRight" activeCell="B1" sqref="B1"/>
    </sheetView>
  </sheetViews>
  <sheetFormatPr defaultRowHeight="14.4"/>
  <cols>
    <col min="1" max="1" width="48.33203125" style="593" bestFit="1" customWidth="1"/>
    <col min="2" max="2" width="68.109375" style="593" bestFit="1" customWidth="1"/>
    <col min="3" max="4" width="12.88671875" style="594" customWidth="1"/>
    <col min="5" max="5" width="35.6640625" style="593" bestFit="1" customWidth="1"/>
    <col min="6" max="6" width="13.44140625" style="593" customWidth="1"/>
    <col min="7" max="7" width="34.6640625" style="593" bestFit="1" customWidth="1"/>
    <col min="8" max="8" width="8.88671875" style="595"/>
    <col min="9" max="9" width="12.33203125" style="593" customWidth="1"/>
    <col min="10" max="16384" width="8.88671875" style="593"/>
  </cols>
  <sheetData>
    <row r="1" spans="1:9" s="596" customFormat="1">
      <c r="A1" s="580" t="s">
        <v>350</v>
      </c>
      <c r="B1" s="544">
        <v>45689</v>
      </c>
      <c r="C1" s="581"/>
      <c r="D1" s="582"/>
      <c r="E1" s="583"/>
      <c r="F1" s="584" t="s">
        <v>351</v>
      </c>
      <c r="G1" s="584" t="s">
        <v>352</v>
      </c>
      <c r="H1" s="585"/>
      <c r="I1" s="584" t="s">
        <v>353</v>
      </c>
    </row>
    <row r="2" spans="1:9" s="596" customFormat="1">
      <c r="A2" s="580"/>
      <c r="B2" s="586"/>
      <c r="C2" s="582"/>
      <c r="D2" s="582"/>
      <c r="E2" s="583"/>
      <c r="F2" s="545">
        <v>28</v>
      </c>
      <c r="G2" s="583" t="s">
        <v>354</v>
      </c>
      <c r="H2" s="549">
        <f>ROUND(POWER(1.02,F2),4)</f>
        <v>1.7410000000000001</v>
      </c>
      <c r="I2" s="550">
        <v>45689</v>
      </c>
    </row>
    <row r="3" spans="1:9">
      <c r="A3" s="584" t="s">
        <v>355</v>
      </c>
      <c r="B3" s="584" t="s">
        <v>356</v>
      </c>
      <c r="C3" s="587" t="s">
        <v>357</v>
      </c>
      <c r="D3" s="587" t="s">
        <v>358</v>
      </c>
      <c r="E3" s="584" t="s">
        <v>359</v>
      </c>
      <c r="F3" s="545">
        <f>F2-26</f>
        <v>2</v>
      </c>
      <c r="G3" s="583" t="s">
        <v>551</v>
      </c>
      <c r="H3" s="549">
        <f t="shared" ref="H3:H4" si="0">ROUND(POWER(1.02,F3),4)</f>
        <v>1.0404</v>
      </c>
      <c r="I3" s="550">
        <v>45689</v>
      </c>
    </row>
    <row r="4" spans="1:9">
      <c r="A4" s="584"/>
      <c r="B4" s="584"/>
      <c r="C4" s="587"/>
      <c r="D4" s="587"/>
      <c r="E4" s="584"/>
      <c r="F4" s="545">
        <f>F2-21</f>
        <v>7</v>
      </c>
      <c r="G4" s="583" t="s">
        <v>550</v>
      </c>
      <c r="H4" s="549">
        <f t="shared" si="0"/>
        <v>1.1487000000000001</v>
      </c>
      <c r="I4" s="550">
        <v>45689</v>
      </c>
    </row>
    <row r="5" spans="1:9">
      <c r="A5" s="584"/>
      <c r="B5" s="584"/>
      <c r="C5" s="587"/>
      <c r="D5" s="587"/>
      <c r="E5" s="584"/>
      <c r="F5" s="583">
        <v>27</v>
      </c>
      <c r="G5" s="583" t="s">
        <v>360</v>
      </c>
      <c r="H5" s="585">
        <f>ROUND(POWER(1.02,F5),4)</f>
        <v>1.7069000000000001</v>
      </c>
      <c r="I5" s="586">
        <v>45413</v>
      </c>
    </row>
    <row r="6" spans="1:9" s="596" customFormat="1">
      <c r="A6" s="584" t="s">
        <v>361</v>
      </c>
      <c r="B6" s="583"/>
      <c r="C6" s="582"/>
      <c r="D6" s="582"/>
      <c r="E6" s="583"/>
      <c r="F6" s="583">
        <v>1</v>
      </c>
      <c r="G6" s="583" t="s">
        <v>362</v>
      </c>
      <c r="H6" s="585">
        <f>ROUND(ROUND($C$7*ROUND(POWER(1.02,F6),4),2)/1163.02,4)</f>
        <v>1.7803</v>
      </c>
      <c r="I6" s="586">
        <v>45413</v>
      </c>
    </row>
    <row r="7" spans="1:9" s="596" customFormat="1">
      <c r="A7" s="583" t="s">
        <v>363</v>
      </c>
      <c r="B7" s="583" t="s">
        <v>552</v>
      </c>
      <c r="C7" s="582">
        <v>2029.88</v>
      </c>
      <c r="D7" s="582" t="s">
        <v>364</v>
      </c>
      <c r="E7" s="588" t="s">
        <v>365</v>
      </c>
      <c r="F7" s="583"/>
      <c r="G7" s="583"/>
      <c r="H7" s="585"/>
      <c r="I7" s="586"/>
    </row>
    <row r="8" spans="1:9" s="596" customFormat="1">
      <c r="A8" s="583"/>
      <c r="B8" s="583" t="s">
        <v>549</v>
      </c>
      <c r="C8" s="582">
        <v>1806.16</v>
      </c>
      <c r="D8" s="582" t="s">
        <v>364</v>
      </c>
      <c r="E8" s="588"/>
      <c r="F8" s="583"/>
      <c r="G8" s="583"/>
      <c r="H8" s="585"/>
      <c r="I8" s="586"/>
    </row>
    <row r="9" spans="1:9">
      <c r="A9" s="583" t="s">
        <v>366</v>
      </c>
      <c r="B9" s="583" t="s">
        <v>367</v>
      </c>
      <c r="C9" s="582">
        <v>26.82</v>
      </c>
      <c r="D9" s="582" t="s">
        <v>368</v>
      </c>
      <c r="E9" s="583"/>
      <c r="F9" s="583"/>
      <c r="G9" s="584"/>
      <c r="H9" s="585"/>
      <c r="I9" s="583"/>
    </row>
    <row r="10" spans="1:9">
      <c r="A10" s="589">
        <v>37</v>
      </c>
      <c r="B10" s="583" t="s">
        <v>369</v>
      </c>
      <c r="C10" s="582">
        <v>11040</v>
      </c>
      <c r="D10" s="582" t="s">
        <v>370</v>
      </c>
      <c r="E10" s="588" t="s">
        <v>371</v>
      </c>
      <c r="F10" s="583"/>
      <c r="G10" s="583"/>
      <c r="H10" s="585"/>
      <c r="I10" s="583"/>
    </row>
    <row r="11" spans="1:9">
      <c r="A11" s="583" t="s">
        <v>372</v>
      </c>
      <c r="B11" s="583" t="s">
        <v>373</v>
      </c>
      <c r="C11" s="582">
        <v>24.79</v>
      </c>
      <c r="D11" s="582" t="s">
        <v>368</v>
      </c>
      <c r="E11" s="588" t="s">
        <v>374</v>
      </c>
      <c r="F11" s="583"/>
      <c r="G11" s="583"/>
      <c r="H11" s="585"/>
      <c r="I11" s="583"/>
    </row>
    <row r="12" spans="1:9">
      <c r="A12" s="583" t="s">
        <v>372</v>
      </c>
      <c r="B12" s="583" t="s">
        <v>375</v>
      </c>
      <c r="C12" s="582">
        <v>991.57</v>
      </c>
      <c r="D12" s="582" t="s">
        <v>370</v>
      </c>
      <c r="E12" s="588" t="s">
        <v>374</v>
      </c>
      <c r="F12" s="583"/>
      <c r="G12" s="583"/>
      <c r="H12" s="585"/>
      <c r="I12" s="583"/>
    </row>
    <row r="13" spans="1:9">
      <c r="A13" s="583" t="s">
        <v>514</v>
      </c>
      <c r="B13" s="583" t="s">
        <v>515</v>
      </c>
      <c r="C13" s="582">
        <v>1225.32</v>
      </c>
      <c r="D13" s="582" t="s">
        <v>370</v>
      </c>
      <c r="E13" s="588"/>
      <c r="F13" s="583"/>
      <c r="G13" s="583"/>
      <c r="H13" s="585"/>
      <c r="I13" s="583"/>
    </row>
    <row r="14" spans="1:9">
      <c r="A14" s="583" t="s">
        <v>376</v>
      </c>
      <c r="B14" s="583" t="s">
        <v>377</v>
      </c>
      <c r="C14" s="582">
        <v>13942.48</v>
      </c>
      <c r="D14" s="582" t="s">
        <v>370</v>
      </c>
      <c r="E14" s="583"/>
      <c r="F14" s="583"/>
      <c r="G14" s="583"/>
      <c r="H14" s="585"/>
      <c r="I14" s="583"/>
    </row>
    <row r="15" spans="1:9">
      <c r="A15" s="583" t="s">
        <v>376</v>
      </c>
      <c r="B15" s="583" t="s">
        <v>378</v>
      </c>
      <c r="C15" s="582">
        <v>631.39</v>
      </c>
      <c r="D15" s="582" t="s">
        <v>370</v>
      </c>
      <c r="E15" s="583"/>
      <c r="F15" s="583"/>
      <c r="G15" s="583"/>
      <c r="H15" s="585"/>
      <c r="I15" s="583"/>
    </row>
    <row r="16" spans="1:9">
      <c r="A16" s="583" t="s">
        <v>379</v>
      </c>
      <c r="B16" s="583" t="s">
        <v>380</v>
      </c>
      <c r="C16" s="582">
        <v>10.18</v>
      </c>
      <c r="D16" s="582" t="s">
        <v>368</v>
      </c>
      <c r="E16" s="583"/>
      <c r="F16" s="583"/>
      <c r="G16" s="583"/>
      <c r="H16" s="585"/>
      <c r="I16" s="583"/>
    </row>
    <row r="17" spans="1:9">
      <c r="A17" s="589" t="s">
        <v>381</v>
      </c>
      <c r="B17" s="583" t="s">
        <v>382</v>
      </c>
      <c r="C17" s="582">
        <v>569.11</v>
      </c>
      <c r="D17" s="582" t="s">
        <v>364</v>
      </c>
      <c r="E17" s="583"/>
      <c r="F17" s="583"/>
      <c r="G17" s="583"/>
      <c r="H17" s="585"/>
      <c r="I17" s="583"/>
    </row>
    <row r="18" spans="1:9">
      <c r="A18" s="589" t="s">
        <v>383</v>
      </c>
      <c r="B18" s="583" t="s">
        <v>384</v>
      </c>
      <c r="C18" s="582">
        <v>304.77</v>
      </c>
      <c r="D18" s="582" t="s">
        <v>364</v>
      </c>
      <c r="E18" s="583"/>
      <c r="F18" s="583"/>
      <c r="G18" s="583"/>
      <c r="H18" s="585"/>
      <c r="I18" s="583"/>
    </row>
    <row r="19" spans="1:9">
      <c r="A19" s="589" t="s">
        <v>385</v>
      </c>
      <c r="B19" s="583" t="s">
        <v>386</v>
      </c>
      <c r="C19" s="582">
        <v>472.98</v>
      </c>
      <c r="D19" s="582" t="s">
        <v>364</v>
      </c>
      <c r="E19" s="583"/>
      <c r="F19" s="583"/>
      <c r="G19" s="583"/>
      <c r="H19" s="585"/>
      <c r="I19" s="583"/>
    </row>
    <row r="20" spans="1:9">
      <c r="A20" s="589" t="s">
        <v>387</v>
      </c>
      <c r="B20" s="583" t="s">
        <v>388</v>
      </c>
      <c r="C20" s="582">
        <v>410.94</v>
      </c>
      <c r="D20" s="582" t="s">
        <v>364</v>
      </c>
      <c r="E20" s="583"/>
      <c r="F20" s="583"/>
      <c r="G20" s="583"/>
      <c r="H20" s="585"/>
      <c r="I20" s="583"/>
    </row>
    <row r="21" spans="1:9">
      <c r="A21" s="589" t="s">
        <v>389</v>
      </c>
      <c r="B21" s="583" t="s">
        <v>390</v>
      </c>
      <c r="C21" s="582">
        <v>1593.24</v>
      </c>
      <c r="D21" s="582" t="s">
        <v>364</v>
      </c>
      <c r="E21" s="583"/>
      <c r="F21" s="583"/>
      <c r="G21" s="583"/>
      <c r="H21" s="585"/>
      <c r="I21" s="583"/>
    </row>
    <row r="22" spans="1:9">
      <c r="A22" s="589" t="s">
        <v>391</v>
      </c>
      <c r="B22" s="583" t="s">
        <v>392</v>
      </c>
      <c r="C22" s="582">
        <v>982.26</v>
      </c>
      <c r="D22" s="582" t="s">
        <v>364</v>
      </c>
      <c r="E22" s="583"/>
      <c r="F22" s="583"/>
      <c r="G22" s="583"/>
      <c r="H22" s="585"/>
      <c r="I22" s="583"/>
    </row>
    <row r="23" spans="1:9">
      <c r="A23" s="583" t="s">
        <v>506</v>
      </c>
      <c r="B23" s="583" t="s">
        <v>393</v>
      </c>
      <c r="C23" s="590">
        <v>66.041399999999996</v>
      </c>
      <c r="D23" s="590" t="s">
        <v>368</v>
      </c>
      <c r="E23" s="583"/>
      <c r="F23" s="583"/>
      <c r="G23" s="583"/>
      <c r="H23" s="585"/>
      <c r="I23" s="583"/>
    </row>
    <row r="24" spans="1:9">
      <c r="A24" s="583" t="s">
        <v>507</v>
      </c>
      <c r="B24" s="583" t="s">
        <v>394</v>
      </c>
      <c r="C24" s="590">
        <v>70.6721</v>
      </c>
      <c r="D24" s="590" t="s">
        <v>368</v>
      </c>
      <c r="E24" s="583"/>
      <c r="F24" s="583"/>
      <c r="G24" s="583"/>
      <c r="H24" s="585"/>
      <c r="I24" s="583"/>
    </row>
    <row r="25" spans="1:9">
      <c r="A25" s="583" t="s">
        <v>508</v>
      </c>
      <c r="B25" s="583" t="s">
        <v>395</v>
      </c>
      <c r="C25" s="590">
        <v>75.826999999999998</v>
      </c>
      <c r="D25" s="590" t="s">
        <v>368</v>
      </c>
      <c r="E25" s="583"/>
      <c r="F25" s="583"/>
      <c r="G25" s="583"/>
      <c r="H25" s="585"/>
      <c r="I25" s="583"/>
    </row>
    <row r="26" spans="1:9">
      <c r="A26" s="583" t="s">
        <v>509</v>
      </c>
      <c r="B26" s="583" t="s">
        <v>396</v>
      </c>
      <c r="C26" s="590">
        <v>65.226200000000006</v>
      </c>
      <c r="D26" s="590" t="s">
        <v>368</v>
      </c>
      <c r="E26" s="583"/>
      <c r="F26" s="583"/>
      <c r="G26" s="583"/>
      <c r="H26" s="585"/>
      <c r="I26" s="583"/>
    </row>
    <row r="27" spans="1:9">
      <c r="A27" s="583" t="s">
        <v>510</v>
      </c>
      <c r="B27" s="583" t="s">
        <v>397</v>
      </c>
      <c r="C27" s="590">
        <v>64.604200000000006</v>
      </c>
      <c r="D27" s="590" t="s">
        <v>368</v>
      </c>
      <c r="E27" s="583"/>
      <c r="F27" s="583"/>
      <c r="G27" s="583"/>
      <c r="H27" s="585"/>
      <c r="I27" s="583"/>
    </row>
    <row r="28" spans="1:9">
      <c r="A28" s="583" t="s">
        <v>511</v>
      </c>
      <c r="B28" s="583" t="s">
        <v>398</v>
      </c>
      <c r="C28" s="590">
        <v>63.567900000000002</v>
      </c>
      <c r="D28" s="590" t="s">
        <v>368</v>
      </c>
      <c r="E28" s="583"/>
      <c r="F28" s="583"/>
      <c r="G28" s="583"/>
      <c r="H28" s="585"/>
      <c r="I28" s="583"/>
    </row>
    <row r="29" spans="1:9">
      <c r="A29" s="583" t="s">
        <v>399</v>
      </c>
      <c r="B29" s="583" t="s">
        <v>400</v>
      </c>
      <c r="C29" s="582">
        <v>16.48</v>
      </c>
      <c r="D29" s="590" t="s">
        <v>368</v>
      </c>
      <c r="E29" s="583"/>
      <c r="F29" s="583"/>
      <c r="G29" s="583"/>
      <c r="H29" s="585"/>
      <c r="I29" s="583"/>
    </row>
    <row r="30" spans="1:9">
      <c r="A30" s="583" t="s">
        <v>505</v>
      </c>
      <c r="B30" s="583" t="s">
        <v>401</v>
      </c>
      <c r="C30" s="582">
        <v>22.83</v>
      </c>
      <c r="D30" s="590" t="s">
        <v>368</v>
      </c>
      <c r="E30" s="583"/>
      <c r="F30" s="583"/>
      <c r="G30" s="583"/>
      <c r="H30" s="585"/>
      <c r="I30" s="583"/>
    </row>
    <row r="31" spans="1:9">
      <c r="A31" s="583" t="s">
        <v>402</v>
      </c>
      <c r="B31" s="583" t="s">
        <v>403</v>
      </c>
      <c r="C31" s="582">
        <v>8.6199999999999992</v>
      </c>
      <c r="D31" s="590" t="s">
        <v>368</v>
      </c>
      <c r="E31" s="583"/>
      <c r="F31" s="583"/>
      <c r="G31" s="583"/>
      <c r="H31" s="585"/>
      <c r="I31" s="583"/>
    </row>
    <row r="32" spans="1:9">
      <c r="A32" s="583" t="s">
        <v>404</v>
      </c>
      <c r="B32" s="583" t="s">
        <v>405</v>
      </c>
      <c r="C32" s="582">
        <v>7</v>
      </c>
      <c r="D32" s="590" t="s">
        <v>368</v>
      </c>
      <c r="E32" s="583"/>
      <c r="F32" s="583"/>
      <c r="G32" s="583"/>
      <c r="H32" s="585"/>
      <c r="I32" s="583"/>
    </row>
    <row r="33" spans="1:9">
      <c r="A33" s="583" t="s">
        <v>493</v>
      </c>
      <c r="B33" s="583" t="s">
        <v>501</v>
      </c>
      <c r="C33" s="582">
        <v>39.19</v>
      </c>
      <c r="D33" s="590" t="s">
        <v>368</v>
      </c>
      <c r="E33" s="583"/>
      <c r="F33" s="583"/>
      <c r="G33" s="583"/>
      <c r="H33" s="585"/>
      <c r="I33" s="583"/>
    </row>
    <row r="34" spans="1:9">
      <c r="A34" s="583" t="s">
        <v>494</v>
      </c>
      <c r="B34" s="583" t="s">
        <v>406</v>
      </c>
      <c r="C34" s="582">
        <v>31.76</v>
      </c>
      <c r="D34" s="590" t="s">
        <v>368</v>
      </c>
      <c r="E34" s="583"/>
      <c r="F34" s="583"/>
      <c r="G34" s="583"/>
      <c r="H34" s="585"/>
      <c r="I34" s="583"/>
    </row>
    <row r="35" spans="1:9">
      <c r="A35" s="583" t="s">
        <v>495</v>
      </c>
      <c r="B35" s="583" t="s">
        <v>497</v>
      </c>
      <c r="C35" s="582">
        <v>37.89</v>
      </c>
      <c r="D35" s="590" t="s">
        <v>368</v>
      </c>
      <c r="E35" s="583"/>
      <c r="F35" s="583"/>
      <c r="G35" s="583"/>
      <c r="H35" s="585"/>
      <c r="I35" s="583"/>
    </row>
    <row r="36" spans="1:9">
      <c r="A36" s="583" t="s">
        <v>496</v>
      </c>
      <c r="B36" s="583" t="s">
        <v>498</v>
      </c>
      <c r="C36" s="582">
        <v>30.71</v>
      </c>
      <c r="D36" s="590" t="s">
        <v>368</v>
      </c>
      <c r="E36" s="583"/>
      <c r="F36" s="583"/>
      <c r="G36" s="583"/>
      <c r="H36" s="585"/>
      <c r="I36" s="583"/>
    </row>
    <row r="37" spans="1:9">
      <c r="A37" s="583" t="s">
        <v>499</v>
      </c>
      <c r="B37" s="583" t="s">
        <v>407</v>
      </c>
      <c r="C37" s="582">
        <v>30.57</v>
      </c>
      <c r="D37" s="590" t="s">
        <v>368</v>
      </c>
      <c r="E37" s="583"/>
      <c r="F37" s="583"/>
      <c r="G37" s="583"/>
      <c r="H37" s="585"/>
      <c r="I37" s="583"/>
    </row>
    <row r="38" spans="1:9">
      <c r="A38" s="583" t="s">
        <v>500</v>
      </c>
      <c r="B38" s="583" t="s">
        <v>408</v>
      </c>
      <c r="C38" s="582">
        <v>28.22</v>
      </c>
      <c r="D38" s="590" t="s">
        <v>368</v>
      </c>
      <c r="E38" s="583"/>
      <c r="F38" s="583"/>
      <c r="G38" s="583"/>
      <c r="H38" s="585"/>
      <c r="I38" s="583"/>
    </row>
    <row r="39" spans="1:9">
      <c r="A39" s="583" t="s">
        <v>504</v>
      </c>
      <c r="B39" s="583" t="s">
        <v>409</v>
      </c>
      <c r="C39" s="582">
        <v>23.39</v>
      </c>
      <c r="D39" s="590" t="s">
        <v>368</v>
      </c>
      <c r="E39" s="583"/>
      <c r="F39" s="583"/>
      <c r="G39" s="583"/>
      <c r="H39" s="585"/>
      <c r="I39" s="583"/>
    </row>
    <row r="40" spans="1:9">
      <c r="A40" s="583" t="s">
        <v>502</v>
      </c>
      <c r="B40" s="583" t="s">
        <v>503</v>
      </c>
      <c r="C40" s="582">
        <v>27.29</v>
      </c>
      <c r="D40" s="590" t="s">
        <v>368</v>
      </c>
      <c r="E40" s="583"/>
      <c r="F40" s="583"/>
      <c r="G40" s="583"/>
      <c r="H40" s="585"/>
      <c r="I40" s="583"/>
    </row>
    <row r="41" spans="1:9">
      <c r="A41" s="583" t="s">
        <v>410</v>
      </c>
      <c r="B41" s="583" t="s">
        <v>411</v>
      </c>
      <c r="C41" s="582">
        <v>33.74</v>
      </c>
      <c r="D41" s="590" t="s">
        <v>368</v>
      </c>
      <c r="E41" s="583"/>
      <c r="F41" s="583"/>
      <c r="G41" s="583"/>
      <c r="H41" s="585"/>
      <c r="I41" s="583"/>
    </row>
    <row r="42" spans="1:9">
      <c r="A42" s="583" t="s">
        <v>412</v>
      </c>
      <c r="B42" s="583" t="s">
        <v>413</v>
      </c>
      <c r="C42" s="582">
        <v>28.34</v>
      </c>
      <c r="D42" s="590" t="s">
        <v>368</v>
      </c>
      <c r="E42" s="583"/>
      <c r="F42" s="583"/>
      <c r="G42" s="583"/>
      <c r="H42" s="585"/>
      <c r="I42" s="583"/>
    </row>
    <row r="43" spans="1:9">
      <c r="A43" s="583" t="s">
        <v>414</v>
      </c>
      <c r="B43" s="583" t="s">
        <v>415</v>
      </c>
      <c r="C43" s="582">
        <v>19.66</v>
      </c>
      <c r="D43" s="590" t="s">
        <v>368</v>
      </c>
      <c r="E43" s="583"/>
      <c r="F43" s="583"/>
      <c r="G43" s="583"/>
      <c r="H43" s="585"/>
      <c r="I43" s="583"/>
    </row>
    <row r="44" spans="1:9">
      <c r="A44" s="583" t="s">
        <v>416</v>
      </c>
      <c r="B44" s="583" t="s">
        <v>417</v>
      </c>
      <c r="C44" s="582">
        <v>14.97</v>
      </c>
      <c r="D44" s="590" t="s">
        <v>368</v>
      </c>
      <c r="E44" s="583"/>
      <c r="F44" s="583"/>
      <c r="G44" s="583"/>
      <c r="H44" s="585"/>
      <c r="I44" s="583"/>
    </row>
    <row r="45" spans="1:9">
      <c r="A45" s="583" t="s">
        <v>543</v>
      </c>
      <c r="B45" s="583" t="s">
        <v>553</v>
      </c>
      <c r="C45" s="582">
        <v>38.72</v>
      </c>
      <c r="D45" s="590" t="s">
        <v>368</v>
      </c>
      <c r="E45" s="583"/>
      <c r="F45" s="583"/>
      <c r="G45" s="583"/>
      <c r="H45" s="585"/>
      <c r="I45" s="583"/>
    </row>
    <row r="46" spans="1:9">
      <c r="A46" s="583" t="s">
        <v>544</v>
      </c>
      <c r="B46" s="583" t="s">
        <v>545</v>
      </c>
      <c r="C46" s="582">
        <v>35.74</v>
      </c>
      <c r="D46" s="590" t="s">
        <v>368</v>
      </c>
      <c r="E46" s="583"/>
      <c r="F46" s="583"/>
      <c r="G46" s="583"/>
      <c r="H46" s="585"/>
      <c r="I46" s="583"/>
    </row>
    <row r="47" spans="1:9">
      <c r="A47" s="583" t="s">
        <v>418</v>
      </c>
      <c r="B47" s="583" t="s">
        <v>419</v>
      </c>
      <c r="C47" s="582">
        <v>39</v>
      </c>
      <c r="D47" s="590" t="s">
        <v>368</v>
      </c>
      <c r="E47" s="583"/>
      <c r="F47" s="583"/>
      <c r="G47" s="583"/>
      <c r="H47" s="585"/>
      <c r="I47" s="583"/>
    </row>
    <row r="48" spans="1:9">
      <c r="A48" s="583" t="s">
        <v>420</v>
      </c>
      <c r="B48" s="583" t="s">
        <v>421</v>
      </c>
      <c r="C48" s="582">
        <v>10.66</v>
      </c>
      <c r="D48" s="590" t="s">
        <v>368</v>
      </c>
      <c r="E48" s="583"/>
      <c r="F48" s="583"/>
      <c r="G48" s="583"/>
      <c r="H48" s="585"/>
      <c r="I48" s="583"/>
    </row>
    <row r="49" spans="1:9">
      <c r="A49" s="583" t="s">
        <v>422</v>
      </c>
      <c r="B49" s="583" t="s">
        <v>423</v>
      </c>
      <c r="C49" s="582">
        <v>16.760000000000002</v>
      </c>
      <c r="D49" s="590" t="s">
        <v>368</v>
      </c>
      <c r="E49" s="583"/>
      <c r="F49" s="583"/>
      <c r="G49" s="583"/>
      <c r="H49" s="585"/>
      <c r="I49" s="583"/>
    </row>
    <row r="50" spans="1:9">
      <c r="A50" s="583" t="s">
        <v>424</v>
      </c>
      <c r="B50" s="583" t="s">
        <v>481</v>
      </c>
      <c r="C50" s="582">
        <v>28</v>
      </c>
      <c r="D50" s="590" t="s">
        <v>368</v>
      </c>
      <c r="E50" s="583"/>
      <c r="F50" s="583"/>
      <c r="G50" s="583"/>
      <c r="H50" s="585"/>
      <c r="I50" s="583"/>
    </row>
    <row r="51" spans="1:9">
      <c r="A51" s="583" t="s">
        <v>425</v>
      </c>
      <c r="B51" s="583" t="s">
        <v>426</v>
      </c>
      <c r="C51" s="582">
        <v>8.7899999999999991</v>
      </c>
      <c r="D51" s="590" t="s">
        <v>368</v>
      </c>
      <c r="E51" s="583"/>
      <c r="F51" s="583"/>
      <c r="G51" s="583"/>
      <c r="H51" s="585"/>
      <c r="I51" s="583"/>
    </row>
    <row r="52" spans="1:9">
      <c r="A52" s="583" t="s">
        <v>427</v>
      </c>
      <c r="B52" s="583" t="s">
        <v>428</v>
      </c>
      <c r="C52" s="582">
        <v>14.01</v>
      </c>
      <c r="D52" s="590" t="s">
        <v>368</v>
      </c>
      <c r="E52" s="583"/>
      <c r="F52" s="583"/>
      <c r="G52" s="583"/>
      <c r="H52" s="585"/>
      <c r="I52" s="583"/>
    </row>
    <row r="53" spans="1:9">
      <c r="A53" s="583" t="s">
        <v>429</v>
      </c>
      <c r="B53" s="583" t="s">
        <v>482</v>
      </c>
      <c r="C53" s="582">
        <v>9.9499999999999993</v>
      </c>
      <c r="D53" s="590" t="s">
        <v>368</v>
      </c>
      <c r="E53" s="583"/>
      <c r="F53" s="583"/>
      <c r="G53" s="583"/>
      <c r="H53" s="585"/>
      <c r="I53" s="583"/>
    </row>
    <row r="54" spans="1:9">
      <c r="A54" s="583" t="s">
        <v>429</v>
      </c>
      <c r="B54" s="583" t="s">
        <v>483</v>
      </c>
      <c r="C54" s="582">
        <v>15.98</v>
      </c>
      <c r="D54" s="590" t="s">
        <v>368</v>
      </c>
      <c r="E54" s="583"/>
      <c r="F54" s="583"/>
      <c r="G54" s="583"/>
      <c r="H54" s="585"/>
      <c r="I54" s="583"/>
    </row>
    <row r="55" spans="1:9">
      <c r="A55" s="583" t="s">
        <v>430</v>
      </c>
      <c r="B55" s="583" t="s">
        <v>431</v>
      </c>
      <c r="C55" s="582">
        <v>40.53</v>
      </c>
      <c r="D55" s="590" t="s">
        <v>368</v>
      </c>
      <c r="E55" s="583"/>
      <c r="F55" s="583"/>
      <c r="G55" s="583"/>
      <c r="H55" s="585"/>
      <c r="I55" s="583"/>
    </row>
    <row r="56" spans="1:9">
      <c r="A56" s="583" t="s">
        <v>432</v>
      </c>
      <c r="B56" s="583" t="s">
        <v>433</v>
      </c>
      <c r="C56" s="582">
        <v>3.54</v>
      </c>
      <c r="D56" s="590" t="s">
        <v>368</v>
      </c>
      <c r="E56" s="583"/>
      <c r="F56" s="583"/>
      <c r="G56" s="583"/>
      <c r="H56" s="585"/>
      <c r="I56" s="583"/>
    </row>
    <row r="57" spans="1:9">
      <c r="A57" s="583" t="s">
        <v>434</v>
      </c>
      <c r="B57" s="583" t="s">
        <v>435</v>
      </c>
      <c r="C57" s="582">
        <v>2.84</v>
      </c>
      <c r="D57" s="590" t="s">
        <v>368</v>
      </c>
      <c r="E57" s="583"/>
      <c r="F57" s="583"/>
      <c r="G57" s="583"/>
      <c r="H57" s="585"/>
      <c r="I57" s="583"/>
    </row>
    <row r="58" spans="1:9">
      <c r="A58" s="583" t="s">
        <v>436</v>
      </c>
      <c r="B58" s="583" t="s">
        <v>437</v>
      </c>
      <c r="C58" s="582">
        <v>39.71</v>
      </c>
      <c r="D58" s="590" t="s">
        <v>368</v>
      </c>
      <c r="E58" s="583"/>
      <c r="F58" s="583"/>
      <c r="G58" s="583"/>
      <c r="H58" s="585"/>
      <c r="I58" s="583"/>
    </row>
    <row r="59" spans="1:9">
      <c r="A59" s="583" t="s">
        <v>438</v>
      </c>
      <c r="B59" s="583" t="s">
        <v>439</v>
      </c>
      <c r="C59" s="582">
        <v>35.24</v>
      </c>
      <c r="D59" s="590" t="s">
        <v>368</v>
      </c>
      <c r="E59" s="583"/>
      <c r="F59" s="583"/>
      <c r="G59" s="583"/>
      <c r="H59" s="585"/>
      <c r="I59" s="583"/>
    </row>
    <row r="60" spans="1:9">
      <c r="A60" s="583" t="s">
        <v>440</v>
      </c>
      <c r="B60" s="583" t="s">
        <v>441</v>
      </c>
      <c r="C60" s="582">
        <v>31.33</v>
      </c>
      <c r="D60" s="590" t="s">
        <v>368</v>
      </c>
      <c r="E60" s="583"/>
      <c r="F60" s="583"/>
      <c r="G60" s="583"/>
      <c r="H60" s="585"/>
      <c r="I60" s="583"/>
    </row>
    <row r="61" spans="1:9">
      <c r="A61" s="583" t="s">
        <v>442</v>
      </c>
      <c r="B61" s="583" t="s">
        <v>443</v>
      </c>
      <c r="C61" s="582">
        <v>28.51</v>
      </c>
      <c r="D61" s="590" t="s">
        <v>368</v>
      </c>
      <c r="E61" s="583"/>
      <c r="F61" s="583"/>
      <c r="G61" s="583"/>
      <c r="H61" s="585"/>
      <c r="I61" s="583"/>
    </row>
    <row r="62" spans="1:9">
      <c r="A62" s="583" t="s">
        <v>444</v>
      </c>
      <c r="B62" s="583" t="s">
        <v>445</v>
      </c>
      <c r="C62" s="582">
        <v>150</v>
      </c>
      <c r="D62" s="582" t="s">
        <v>364</v>
      </c>
      <c r="E62" s="583"/>
      <c r="F62" s="583"/>
      <c r="G62" s="583"/>
      <c r="H62" s="585"/>
      <c r="I62" s="583"/>
    </row>
    <row r="63" spans="1:9">
      <c r="A63" s="583" t="s">
        <v>446</v>
      </c>
      <c r="B63" s="583" t="s">
        <v>447</v>
      </c>
      <c r="C63" s="582">
        <v>150</v>
      </c>
      <c r="D63" s="582" t="s">
        <v>364</v>
      </c>
      <c r="E63" s="583"/>
      <c r="F63" s="583"/>
      <c r="G63" s="583"/>
      <c r="H63" s="585"/>
      <c r="I63" s="583"/>
    </row>
    <row r="64" spans="1:9">
      <c r="A64" s="583" t="s">
        <v>446</v>
      </c>
      <c r="B64" s="583" t="s">
        <v>448</v>
      </c>
      <c r="C64" s="582">
        <v>100</v>
      </c>
      <c r="D64" s="582" t="s">
        <v>364</v>
      </c>
      <c r="E64" s="583"/>
      <c r="F64" s="583"/>
      <c r="G64" s="583"/>
      <c r="H64" s="585"/>
      <c r="I64" s="583"/>
    </row>
    <row r="65" spans="1:9">
      <c r="A65" s="583" t="s">
        <v>446</v>
      </c>
      <c r="B65" s="583" t="s">
        <v>449</v>
      </c>
      <c r="C65" s="582">
        <v>50</v>
      </c>
      <c r="D65" s="582" t="s">
        <v>364</v>
      </c>
      <c r="E65" s="583"/>
      <c r="F65" s="583"/>
      <c r="G65" s="583"/>
      <c r="H65" s="585"/>
      <c r="I65" s="583"/>
    </row>
    <row r="66" spans="1:9">
      <c r="A66" s="583" t="s">
        <v>450</v>
      </c>
      <c r="B66" s="583" t="s">
        <v>451</v>
      </c>
      <c r="C66" s="582">
        <v>100</v>
      </c>
      <c r="D66" s="582" t="s">
        <v>364</v>
      </c>
      <c r="E66" s="583"/>
      <c r="F66" s="583"/>
      <c r="G66" s="583"/>
      <c r="H66" s="585"/>
      <c r="I66" s="583"/>
    </row>
    <row r="67" spans="1:9">
      <c r="A67" s="583" t="s">
        <v>452</v>
      </c>
      <c r="B67" s="583" t="s">
        <v>453</v>
      </c>
      <c r="C67" s="582">
        <v>10.18</v>
      </c>
      <c r="D67" s="582" t="s">
        <v>368</v>
      </c>
      <c r="E67" s="583"/>
      <c r="F67" s="583"/>
      <c r="G67" s="583"/>
      <c r="H67" s="585"/>
      <c r="I67" s="583"/>
    </row>
    <row r="68" spans="1:9">
      <c r="A68" s="583" t="s">
        <v>454</v>
      </c>
      <c r="B68" s="583" t="s">
        <v>455</v>
      </c>
      <c r="C68" s="582">
        <v>12241.74</v>
      </c>
      <c r="D68" s="582" t="s">
        <v>370</v>
      </c>
      <c r="E68" s="588" t="s">
        <v>456</v>
      </c>
      <c r="F68" s="583"/>
      <c r="G68" s="583"/>
      <c r="H68" s="585"/>
      <c r="I68" s="583"/>
    </row>
    <row r="69" spans="1:9">
      <c r="A69" s="583" t="s">
        <v>454</v>
      </c>
      <c r="B69" s="583" t="s">
        <v>457</v>
      </c>
      <c r="C69" s="582">
        <v>9058.25</v>
      </c>
      <c r="D69" s="582" t="s">
        <v>370</v>
      </c>
      <c r="E69" s="588" t="s">
        <v>456</v>
      </c>
      <c r="F69" s="591"/>
      <c r="G69" s="583"/>
      <c r="H69" s="585"/>
      <c r="I69" s="583"/>
    </row>
    <row r="70" spans="1:9">
      <c r="A70" s="583"/>
      <c r="B70" s="583" t="s">
        <v>458</v>
      </c>
      <c r="C70" s="582">
        <v>6038.83</v>
      </c>
      <c r="D70" s="582" t="s">
        <v>370</v>
      </c>
      <c r="E70" s="588" t="s">
        <v>456</v>
      </c>
      <c r="F70" s="591"/>
      <c r="G70" s="583"/>
      <c r="H70" s="585"/>
      <c r="I70" s="583"/>
    </row>
    <row r="71" spans="1:9">
      <c r="A71" s="583" t="s">
        <v>459</v>
      </c>
      <c r="B71" s="583" t="s">
        <v>460</v>
      </c>
      <c r="C71" s="582">
        <v>136.81</v>
      </c>
      <c r="D71" s="582" t="s">
        <v>364</v>
      </c>
      <c r="E71" s="583"/>
      <c r="F71" s="591"/>
      <c r="G71" s="583"/>
      <c r="H71" s="585"/>
      <c r="I71" s="583"/>
    </row>
    <row r="72" spans="1:9">
      <c r="A72" s="583" t="s">
        <v>461</v>
      </c>
      <c r="B72" s="583" t="s">
        <v>462</v>
      </c>
      <c r="C72" s="582">
        <v>109.45</v>
      </c>
      <c r="D72" s="582" t="s">
        <v>364</v>
      </c>
      <c r="E72" s="583"/>
      <c r="F72" s="583"/>
      <c r="G72" s="583"/>
      <c r="H72" s="585"/>
      <c r="I72" s="583"/>
    </row>
    <row r="73" spans="1:9">
      <c r="A73" s="583" t="s">
        <v>463</v>
      </c>
      <c r="B73" s="583" t="s">
        <v>464</v>
      </c>
      <c r="C73" s="582">
        <v>82.08</v>
      </c>
      <c r="D73" s="582" t="s">
        <v>364</v>
      </c>
      <c r="E73" s="583"/>
      <c r="F73" s="583"/>
      <c r="G73" s="583"/>
      <c r="H73" s="585"/>
      <c r="I73" s="583"/>
    </row>
    <row r="74" spans="1:9">
      <c r="A74" s="583" t="s">
        <v>465</v>
      </c>
      <c r="B74" s="583" t="s">
        <v>466</v>
      </c>
      <c r="C74" s="582">
        <v>2.31</v>
      </c>
      <c r="D74" s="582" t="s">
        <v>467</v>
      </c>
      <c r="E74" s="583"/>
      <c r="F74" s="583"/>
      <c r="G74" s="583"/>
      <c r="H74" s="585"/>
      <c r="I74" s="583"/>
    </row>
    <row r="75" spans="1:9">
      <c r="A75" s="583" t="s">
        <v>468</v>
      </c>
      <c r="B75" s="583" t="s">
        <v>469</v>
      </c>
      <c r="C75" s="582">
        <v>31.18</v>
      </c>
      <c r="D75" s="582" t="s">
        <v>368</v>
      </c>
      <c r="E75" s="583"/>
      <c r="F75" s="583"/>
      <c r="G75" s="583"/>
      <c r="H75" s="585"/>
      <c r="I75" s="583"/>
    </row>
    <row r="76" spans="1:9">
      <c r="A76" s="583" t="s">
        <v>470</v>
      </c>
      <c r="B76" s="583" t="s">
        <v>471</v>
      </c>
      <c r="C76" s="582">
        <v>61.53</v>
      </c>
      <c r="D76" s="582" t="s">
        <v>364</v>
      </c>
      <c r="E76" s="583"/>
      <c r="F76" s="583"/>
      <c r="G76" s="583"/>
      <c r="H76" s="585"/>
      <c r="I76" s="583"/>
    </row>
    <row r="77" spans="1:9">
      <c r="A77" s="583" t="s">
        <v>472</v>
      </c>
      <c r="B77" s="583" t="s">
        <v>473</v>
      </c>
      <c r="C77" s="582">
        <v>7707.76</v>
      </c>
      <c r="D77" s="582" t="s">
        <v>370</v>
      </c>
      <c r="E77" s="583"/>
      <c r="F77" s="583"/>
      <c r="G77" s="583"/>
      <c r="H77" s="585"/>
      <c r="I77" s="583"/>
    </row>
    <row r="78" spans="1:9">
      <c r="A78" s="583" t="s">
        <v>524</v>
      </c>
      <c r="B78" s="583" t="s">
        <v>525</v>
      </c>
      <c r="C78" s="582">
        <v>20.36</v>
      </c>
      <c r="D78" s="582" t="s">
        <v>368</v>
      </c>
      <c r="E78" s="583"/>
      <c r="F78" s="583"/>
      <c r="G78" s="583"/>
      <c r="H78" s="585"/>
      <c r="I78" s="583"/>
    </row>
    <row r="79" spans="1:9">
      <c r="A79" s="583" t="s">
        <v>520</v>
      </c>
      <c r="B79" s="583" t="s">
        <v>521</v>
      </c>
      <c r="C79" s="582">
        <v>40.840000000000003</v>
      </c>
      <c r="D79" s="582" t="s">
        <v>368</v>
      </c>
      <c r="E79" s="583"/>
      <c r="F79" s="583"/>
      <c r="G79" s="583"/>
      <c r="H79" s="585"/>
      <c r="I79" s="583"/>
    </row>
    <row r="80" spans="1:9">
      <c r="A80" s="583" t="s">
        <v>522</v>
      </c>
      <c r="B80" s="583" t="s">
        <v>523</v>
      </c>
      <c r="C80" s="582">
        <v>35.979999999999997</v>
      </c>
      <c r="D80" s="582" t="s">
        <v>368</v>
      </c>
      <c r="E80" s="583"/>
      <c r="F80" s="583"/>
      <c r="G80" s="583"/>
      <c r="H80" s="585"/>
      <c r="I80" s="583"/>
    </row>
    <row r="81" spans="1:9">
      <c r="A81" s="584" t="s">
        <v>474</v>
      </c>
      <c r="B81" s="583"/>
      <c r="C81" s="582"/>
      <c r="D81" s="582"/>
      <c r="E81" s="583"/>
      <c r="F81" s="583"/>
      <c r="G81" s="583"/>
      <c r="H81" s="585"/>
      <c r="I81" s="583"/>
    </row>
    <row r="82" spans="1:9">
      <c r="A82" s="583" t="s">
        <v>484</v>
      </c>
      <c r="B82" s="583"/>
      <c r="C82" s="582">
        <v>11.3</v>
      </c>
      <c r="D82" s="582" t="s">
        <v>368</v>
      </c>
      <c r="E82" s="588" t="s">
        <v>485</v>
      </c>
      <c r="F82" s="583"/>
      <c r="G82" s="583"/>
      <c r="H82" s="585"/>
      <c r="I82" s="583"/>
    </row>
    <row r="83" spans="1:9">
      <c r="A83" s="583" t="s">
        <v>475</v>
      </c>
      <c r="B83" s="583"/>
      <c r="C83" s="582">
        <v>1313.35</v>
      </c>
      <c r="D83" s="582" t="s">
        <v>364</v>
      </c>
      <c r="E83" s="588" t="s">
        <v>476</v>
      </c>
      <c r="F83" s="583"/>
      <c r="G83" s="583"/>
      <c r="H83" s="585"/>
      <c r="I83" s="583"/>
    </row>
    <row r="84" spans="1:9">
      <c r="A84" s="583" t="s">
        <v>477</v>
      </c>
      <c r="B84" s="583"/>
      <c r="C84" s="582">
        <v>2626.7</v>
      </c>
      <c r="D84" s="582" t="s">
        <v>364</v>
      </c>
      <c r="E84" s="588" t="s">
        <v>476</v>
      </c>
      <c r="F84" s="583"/>
      <c r="G84" s="583"/>
      <c r="H84" s="585"/>
      <c r="I84" s="583"/>
    </row>
    <row r="85" spans="1:9">
      <c r="A85" s="583" t="s">
        <v>478</v>
      </c>
      <c r="B85" s="583"/>
      <c r="C85" s="582">
        <v>25.77</v>
      </c>
      <c r="D85" s="582" t="s">
        <v>368</v>
      </c>
      <c r="E85" s="588" t="s">
        <v>479</v>
      </c>
      <c r="F85" s="583"/>
      <c r="G85" s="583"/>
      <c r="H85" s="585"/>
      <c r="I85" s="583"/>
    </row>
    <row r="86" spans="1:9">
      <c r="A86" s="583" t="s">
        <v>516</v>
      </c>
      <c r="B86" s="583"/>
      <c r="C86" s="592">
        <v>1.5768139999999999</v>
      </c>
      <c r="D86" s="582" t="s">
        <v>364</v>
      </c>
      <c r="E86" s="588" t="s">
        <v>480</v>
      </c>
      <c r="F86" s="583"/>
      <c r="G86" s="583"/>
      <c r="H86" s="585"/>
      <c r="I86" s="583"/>
    </row>
    <row r="87" spans="1:9">
      <c r="A87" s="583" t="s">
        <v>534</v>
      </c>
      <c r="B87" s="583"/>
      <c r="C87" s="592">
        <v>1.3153280000000001</v>
      </c>
      <c r="D87" s="582" t="s">
        <v>364</v>
      </c>
      <c r="E87" s="588" t="s">
        <v>480</v>
      </c>
      <c r="F87" s="583"/>
      <c r="G87" s="583"/>
      <c r="H87" s="585"/>
      <c r="I87" s="583"/>
    </row>
    <row r="88" spans="1:9">
      <c r="A88" s="583" t="s">
        <v>548</v>
      </c>
      <c r="B88" s="583"/>
      <c r="C88" s="592">
        <v>1.03</v>
      </c>
      <c r="D88" s="582" t="s">
        <v>364</v>
      </c>
      <c r="E88" s="588" t="s">
        <v>480</v>
      </c>
      <c r="F88" s="583"/>
      <c r="G88" s="583"/>
      <c r="H88" s="585"/>
      <c r="I88" s="583"/>
    </row>
    <row r="89" spans="1:9">
      <c r="A89" s="583" t="s">
        <v>546</v>
      </c>
      <c r="C89" s="594">
        <v>5.71</v>
      </c>
      <c r="D89" s="582" t="s">
        <v>364</v>
      </c>
      <c r="E89" s="588" t="s">
        <v>480</v>
      </c>
      <c r="F89" s="583"/>
      <c r="G89" s="583"/>
      <c r="H89" s="585"/>
      <c r="I89" s="583"/>
    </row>
    <row r="90" spans="1:9">
      <c r="A90" s="583" t="s">
        <v>547</v>
      </c>
      <c r="C90" s="594">
        <v>7.7</v>
      </c>
      <c r="D90" s="582" t="s">
        <v>364</v>
      </c>
      <c r="E90" s="588" t="s">
        <v>480</v>
      </c>
    </row>
  </sheetData>
  <sheetProtection algorithmName="SHA-512" hashValue="mR6BOGWi3hRsA6kzST2aFJyPQ7fnb3NLkxTnqFO74U6ug9C2CQaXYzQzn5DRRNU8iR0tYFNYDI8v80lzFcFp1Q==" saltValue="3IMLBIgwaRk2dvedulW4jA==" spinCount="100000" sheet="1" objects="1" scenarios="1"/>
  <phoneticPr fontId="69" type="noConversion"/>
  <hyperlinks>
    <hyperlink ref="E83" r:id="rId1" location="Art.2" xr:uid="{7B621359-853A-414F-8EAA-D2538EC5727E}"/>
    <hyperlink ref="E84" r:id="rId2" location="Art.2" xr:uid="{FEEE4E04-8B52-4FBE-9F00-466139A98C8E}"/>
    <hyperlink ref="E85" r:id="rId3" location="Art.2" xr:uid="{79482F2C-AC15-4BF4-8DD8-4012CA62868E}"/>
    <hyperlink ref="E68" r:id="rId4" location="Art.15" xr:uid="{A8E85DDF-4F55-434D-8EFD-A925D5857885}"/>
    <hyperlink ref="E69" r:id="rId5" location="Art.15" xr:uid="{FEFF09A5-EF54-419F-8BFB-C1CF60FDA1E8}"/>
    <hyperlink ref="E70" r:id="rId6" location="Art.15" xr:uid="{CA3417D4-6E39-4DF1-97A1-A6A59D27A02F}"/>
    <hyperlink ref="E11" r:id="rId7" location="Art.11" xr:uid="{BB97FE48-AF57-483C-95CC-E892753DD280}"/>
    <hyperlink ref="E12" r:id="rId8" location="Art.11" xr:uid="{D4FA25DA-C892-4F19-A313-BFA7D01423CF}"/>
    <hyperlink ref="E10" r:id="rId9" location="Art.3" xr:uid="{275DA045-2D8A-4265-8B0A-E242566BCC65}"/>
    <hyperlink ref="E7" r:id="rId10" xr:uid="{73DDF433-BFAC-43A8-BCFB-82013FFB3909}"/>
    <hyperlink ref="E82" r:id="rId11" location="LNK0006" xr:uid="{41DB3425-5F36-4A05-88AD-64E38C4B30DA}"/>
    <hyperlink ref="E86" r:id="rId12" location="Art.2" xr:uid="{FFF46345-C18A-4C55-A7AF-E333511BB5F2}"/>
    <hyperlink ref="E87" r:id="rId13" location="Art.2" xr:uid="{10A3792D-CAAC-43BB-A537-F318E221CA1C}"/>
    <hyperlink ref="E89" r:id="rId14" location="Art.2" xr:uid="{565F8C72-0C7C-417B-BF95-10426819F5D8}"/>
    <hyperlink ref="E90" r:id="rId15" location="Art.2" xr:uid="{BFA9D64A-0AC6-4BFB-B59E-3917D8A52150}"/>
    <hyperlink ref="E88" r:id="rId16" location="Art.2" xr:uid="{DAB190FD-9771-4D09-8F48-16CAAC2C7A2D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 outlineLevelCol="1"/>
  <cols>
    <col min="1" max="1" width="16.5546875" style="72" customWidth="1"/>
    <col min="2" max="2" width="0.6640625" customWidth="1"/>
    <col min="3" max="3" width="9.5546875" customWidth="1"/>
    <col min="6" max="6" width="0.6640625" customWidth="1"/>
    <col min="7" max="7" width="9.109375" customWidth="1"/>
    <col min="13" max="13" width="0.6640625" customWidth="1"/>
    <col min="14" max="14" width="8.88671875" hidden="1" customWidth="1" outlineLevel="1"/>
    <col min="15" max="15" width="8.88671875" collapsed="1"/>
    <col min="16" max="16" width="0.6640625" customWidth="1"/>
    <col min="22" max="22" width="0.6640625" customWidth="1"/>
    <col min="23" max="23" width="8.88671875" hidden="1" customWidth="1" outlineLevel="1"/>
    <col min="24" max="24" width="8.88671875" collapsed="1"/>
  </cols>
  <sheetData>
    <row r="1" spans="1:24" ht="15" customHeight="1">
      <c r="A1" s="44" t="s">
        <v>33</v>
      </c>
      <c r="C1" s="600" t="s">
        <v>43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80"/>
      <c r="T1" s="86" t="s">
        <v>34</v>
      </c>
      <c r="U1" s="86"/>
      <c r="V1" s="86"/>
      <c r="W1" s="410"/>
      <c r="X1" s="497">
        <f>Basisbedragen!$H$2</f>
        <v>1.7410000000000001</v>
      </c>
    </row>
    <row r="2" spans="1:24" ht="15.6">
      <c r="A2" s="60">
        <f>A!A2</f>
        <v>45689</v>
      </c>
      <c r="C2" s="600" t="s">
        <v>54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84"/>
      <c r="T2" s="45"/>
      <c r="U2" s="45"/>
      <c r="V2" s="45"/>
      <c r="W2" s="45"/>
    </row>
    <row r="3" spans="1:24">
      <c r="A3" s="46"/>
      <c r="C3" s="597" t="s">
        <v>47</v>
      </c>
      <c r="D3" s="597"/>
      <c r="E3" s="597"/>
      <c r="F3" s="429"/>
      <c r="G3" s="597" t="s">
        <v>48</v>
      </c>
      <c r="H3" s="597"/>
      <c r="I3" s="597"/>
      <c r="J3" s="597"/>
      <c r="K3" s="597"/>
      <c r="L3" s="597"/>
      <c r="M3" s="429"/>
      <c r="N3" s="429"/>
      <c r="O3" s="430" t="s">
        <v>37</v>
      </c>
      <c r="P3" s="429"/>
      <c r="Q3" s="597" t="s">
        <v>50</v>
      </c>
      <c r="R3" s="597"/>
      <c r="S3" s="597"/>
      <c r="T3" s="597"/>
      <c r="U3" s="597"/>
      <c r="V3" s="433"/>
      <c r="W3" s="433"/>
      <c r="X3" s="430" t="s">
        <v>37</v>
      </c>
    </row>
    <row r="4" spans="1:24" ht="26.25" customHeight="1" thickBot="1">
      <c r="A4" s="46"/>
      <c r="C4" s="597"/>
      <c r="D4" s="597"/>
      <c r="E4" s="597"/>
      <c r="F4" s="429"/>
      <c r="G4" s="429"/>
      <c r="H4" s="597"/>
      <c r="I4" s="597"/>
      <c r="J4" s="597"/>
      <c r="K4" s="597"/>
      <c r="L4" s="597"/>
      <c r="M4" s="429"/>
      <c r="N4" s="429"/>
      <c r="O4" s="431" t="s">
        <v>49</v>
      </c>
      <c r="P4" s="429"/>
      <c r="Q4" s="434"/>
      <c r="R4" s="434"/>
      <c r="S4" s="434"/>
      <c r="T4" s="434"/>
      <c r="U4" s="434"/>
      <c r="V4" s="434"/>
      <c r="W4" s="434"/>
      <c r="X4" s="432" t="s">
        <v>51</v>
      </c>
    </row>
    <row r="5" spans="1:24" ht="57.75" customHeight="1" thickBot="1">
      <c r="A5" s="100" t="s">
        <v>35</v>
      </c>
      <c r="C5" s="55" t="s">
        <v>22</v>
      </c>
      <c r="D5" s="56" t="s">
        <v>23</v>
      </c>
      <c r="E5" s="55" t="s">
        <v>24</v>
      </c>
      <c r="F5" s="47"/>
      <c r="G5" s="56" t="s">
        <v>530</v>
      </c>
      <c r="H5" s="56" t="s">
        <v>538</v>
      </c>
      <c r="I5" s="55" t="s">
        <v>25</v>
      </c>
      <c r="J5" s="56" t="s">
        <v>26</v>
      </c>
      <c r="K5" s="55" t="s">
        <v>27</v>
      </c>
      <c r="L5" s="56" t="s">
        <v>28</v>
      </c>
      <c r="M5" s="48"/>
      <c r="N5" s="48" t="s">
        <v>315</v>
      </c>
      <c r="O5" s="56" t="s">
        <v>536</v>
      </c>
      <c r="P5" s="48"/>
      <c r="Q5" s="56" t="s">
        <v>266</v>
      </c>
      <c r="R5" s="56" t="s">
        <v>29</v>
      </c>
      <c r="S5" s="56" t="s">
        <v>30</v>
      </c>
      <c r="T5" s="56" t="s">
        <v>31</v>
      </c>
      <c r="U5" s="56" t="s">
        <v>32</v>
      </c>
      <c r="V5" s="48"/>
      <c r="W5" s="48" t="s">
        <v>318</v>
      </c>
      <c r="X5" s="56" t="s">
        <v>238</v>
      </c>
    </row>
    <row r="6" spans="1:24" ht="15" hidden="1" thickBot="1">
      <c r="A6" s="73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O6" s="78"/>
      <c r="Q6" s="76"/>
      <c r="R6" s="76">
        <v>1</v>
      </c>
      <c r="S6" s="76">
        <v>2</v>
      </c>
      <c r="T6" s="76">
        <v>3</v>
      </c>
      <c r="U6" s="76">
        <v>4</v>
      </c>
      <c r="X6" s="78"/>
    </row>
    <row r="7" spans="1:24" s="50" customFormat="1" ht="15" thickBot="1">
      <c r="A7" s="74"/>
      <c r="B7"/>
      <c r="C7" s="77">
        <v>0.65</v>
      </c>
      <c r="D7" s="77">
        <v>0.6</v>
      </c>
      <c r="E7" s="77">
        <v>0.6</v>
      </c>
      <c r="F7" s="51"/>
      <c r="G7" s="77">
        <v>0.6</v>
      </c>
      <c r="H7" s="77">
        <v>0.55000000000000004</v>
      </c>
      <c r="I7" s="61"/>
      <c r="J7" s="61"/>
      <c r="K7" s="61"/>
      <c r="L7" s="61"/>
      <c r="M7" s="51"/>
      <c r="N7" s="401"/>
      <c r="O7" s="61"/>
      <c r="P7" s="79"/>
      <c r="Q7" s="77">
        <v>0.6</v>
      </c>
      <c r="R7" s="61"/>
      <c r="S7" s="61"/>
      <c r="T7" s="61"/>
      <c r="U7" s="61"/>
      <c r="V7" s="51"/>
      <c r="W7" s="409"/>
      <c r="X7" s="61"/>
    </row>
    <row r="8" spans="1:24" s="68" customFormat="1" ht="18.75" customHeight="1" thickBot="1">
      <c r="A8" s="70" t="s">
        <v>4</v>
      </c>
      <c r="B8"/>
      <c r="C8" s="67">
        <f>ROUND(Basisbedragen!$C$34*$X$1,2)</f>
        <v>55.29</v>
      </c>
      <c r="D8" s="67">
        <f t="shared" ref="D8:L8" si="0">$C$8</f>
        <v>55.29</v>
      </c>
      <c r="E8" s="67">
        <f t="shared" si="0"/>
        <v>55.29</v>
      </c>
      <c r="G8" s="67">
        <f t="shared" si="0"/>
        <v>55.29</v>
      </c>
      <c r="H8" s="67">
        <f t="shared" si="0"/>
        <v>55.29</v>
      </c>
      <c r="I8" s="67">
        <f t="shared" si="0"/>
        <v>55.29</v>
      </c>
      <c r="J8" s="67">
        <f t="shared" si="0"/>
        <v>55.29</v>
      </c>
      <c r="K8" s="67">
        <f t="shared" si="0"/>
        <v>55.29</v>
      </c>
      <c r="L8" s="67">
        <f t="shared" si="0"/>
        <v>55.29</v>
      </c>
      <c r="N8" s="402"/>
      <c r="O8" s="67"/>
      <c r="Q8" s="67">
        <f>ROUND(Basisbedragen!$C$59*$X$1,2)</f>
        <v>61.35</v>
      </c>
      <c r="R8" s="106">
        <f>MIN(R9:R86)</f>
        <v>60.23</v>
      </c>
      <c r="S8" s="106">
        <f t="shared" ref="S8:U8" si="1">MIN(S9:S86)</f>
        <v>60.23</v>
      </c>
      <c r="T8" s="106">
        <f t="shared" si="1"/>
        <v>60.23</v>
      </c>
      <c r="U8" s="106">
        <f t="shared" si="1"/>
        <v>60.23</v>
      </c>
      <c r="W8" s="411"/>
      <c r="X8" s="67"/>
    </row>
    <row r="9" spans="1:24" ht="15.75" hidden="1" customHeight="1" outlineLevel="1" thickBot="1">
      <c r="A9" s="54">
        <v>1</v>
      </c>
      <c r="C9" s="59">
        <f>IF(ROUND(ROUND(('Loonschijven_Tranches salariale'!$Q8*0.65),4)*$X$1,2)&lt;C$8,C$8,ROUND(ROUND(('Loonschijven_Tranches salariale'!$Q8*0.65),4)*$X$1,2))</f>
        <v>55.29</v>
      </c>
      <c r="D9" s="59">
        <f>IF(ROUND(ROUND(('Loonschijven_Tranches salariale'!$Q8*0.6),4)*$X$1,2)&lt;D$8,D$8,ROUND(ROUND(('Loonschijven_Tranches salariale'!$Q8*0.6),4)*$X$1,2))</f>
        <v>55.29</v>
      </c>
      <c r="E9" s="59">
        <f>IF(ROUND(ROUND(('Loonschijven_Tranches salariale'!$Q8*0.6),4)*$X$1,2)&lt;E$8,E$8,IF('Loonschijven_Tranches salariale'!$Q8&lt;Basisbedragen!$C$24,ROUND(ROUND(('Loonschijven_Tranches salariale'!$Q8*0.6),4)*$X$1,2),ROUND(ROUND((Basisbedragen!$C$24*0.6),4)*$X$1,2)))</f>
        <v>55.29</v>
      </c>
      <c r="F9" s="42"/>
      <c r="G9" s="59">
        <f>IF(ROUND(ROUND(('Loonschijven_Tranches salariale'!$Q8*0.6),4)*$X$1,2)&lt;G$8,G$8,IF('Loonschijven_Tranches salariale'!$Q8&lt;Basisbedragen!$C$23,ROUND(ROUND(('Loonschijven_Tranches salariale'!$Q8*0.6),4)*$X$1,2),ROUND(ROUND((Basisbedragen!$C$23*0.6),4)*$X$1,2)))</f>
        <v>55.29</v>
      </c>
      <c r="H9" s="59">
        <f>IF(ROUND(ROUND(('Loonschijven_Tranches salariale'!$Q8*0.55),4)*$X$1,2)&lt;H$8,H$8,IF('Loonschijven_Tranches salariale'!$Q8&lt;Basisbedragen!$C$27,ROUND(ROUND(('Loonschijven_Tranches salariale'!$Q8*0.55),4)*$X$1,2),ROUND(ROUND((Basisbedragen!$C$27*0.55),4)*$X$1,2)))</f>
        <v>55.29</v>
      </c>
      <c r="I9" s="59">
        <f>IF(ROUND($H9-(I$6*($H9-$N$9)/5),2)&lt;I$8,I$8,ROUND($H9-(I$6*($H9-$N$9)/5),2))</f>
        <v>55.29</v>
      </c>
      <c r="J9" s="59">
        <f t="shared" ref="J9:L24" si="2">IF(ROUND($H9-(J$6*($H9-$N$9)/5),2)&lt;J$8,J$8,ROUND($H9-(J$6*($H9-$N$9)/5),2))</f>
        <v>55.29</v>
      </c>
      <c r="K9" s="59">
        <f t="shared" si="2"/>
        <v>55.29</v>
      </c>
      <c r="L9" s="59">
        <f t="shared" si="2"/>
        <v>55.29</v>
      </c>
      <c r="M9" s="42"/>
      <c r="N9" s="42">
        <f>ROUND(Basisbedragen!$C$42*$X$1,2)</f>
        <v>49.34</v>
      </c>
      <c r="O9" s="59">
        <f t="shared" ref="O9:O40" si="3">$C$8</f>
        <v>55.29</v>
      </c>
      <c r="P9" s="42"/>
      <c r="Q9" s="59">
        <f>IF(ROUND(ROUND(('Loonschijven_Tranches salariale'!$Q8*0.6),4)*$X$1,2)&lt;Q$8,Q$8,IF('Loonschijven_Tranches salariale'!$Q8&lt;Basisbedragen!$C$23,ROUND(ROUND(('Loonschijven_Tranches salariale'!$Q8*0.6),4)*$X$1,2),ROUND(ROUND((Basisbedragen!$C$23*0.6),4)*$X$1,2)))</f>
        <v>61.35</v>
      </c>
      <c r="R9" s="59">
        <f>IF(ROUND($Q9-(R$6*($Q9-$W9)/5),2)&lt;$X9,$X9,ROUND($Q9-(R$6*($Q9-$W9)/5),2))</f>
        <v>60.23</v>
      </c>
      <c r="S9" s="59">
        <f t="shared" ref="S9:U24" si="4">IF(ROUND($Q9-(S$6*($Q9-$W9)/5),2)&lt;$X9,$X9,ROUND($Q9-(S$6*($Q9-$W9)/5),2))</f>
        <v>60.23</v>
      </c>
      <c r="T9" s="59">
        <f t="shared" si="4"/>
        <v>60.23</v>
      </c>
      <c r="U9" s="59">
        <f t="shared" si="4"/>
        <v>60.23</v>
      </c>
      <c r="V9" s="43"/>
      <c r="W9" s="234">
        <f>N9+ROUND(Basisbedragen!$C$57*$X$1,2)</f>
        <v>54.28</v>
      </c>
      <c r="X9" s="59">
        <f>O9+ROUND(Basisbedragen!$C$57*$X$1,2)</f>
        <v>60.23</v>
      </c>
    </row>
    <row r="10" spans="1:24" ht="15.75" hidden="1" customHeight="1" outlineLevel="1" thickBot="1">
      <c r="A10" s="54">
        <f>A9+1</f>
        <v>2</v>
      </c>
      <c r="C10" s="59">
        <f>IF(ROUND(ROUND(('Loonschijven_Tranches salariale'!$Q9*0.65),4)*$X$1,2)&lt;C$8,C$8,ROUND(ROUND(('Loonschijven_Tranches salariale'!$Q9*0.65),4)*$X$1,2))</f>
        <v>55.29</v>
      </c>
      <c r="D10" s="59">
        <f>IF(ROUND(ROUND(('Loonschijven_Tranches salariale'!$Q9*0.6),4)*$X$1,2)&lt;D$8,D$8,ROUND(ROUND(('Loonschijven_Tranches salariale'!$Q9*0.6),4)*$X$1,2))</f>
        <v>55.29</v>
      </c>
      <c r="E10" s="59">
        <f>IF(ROUND(ROUND(('Loonschijven_Tranches salariale'!$Q9*0.6),4)*$X$1,2)&lt;E$8,E$8,IF('Loonschijven_Tranches salariale'!$Q9&lt;Basisbedragen!$C$24,ROUND(ROUND(('Loonschijven_Tranches salariale'!$Q9*0.6),4)*$X$1,2),ROUND(ROUND((Basisbedragen!$C$24*0.6),4)*$X$1,2)))</f>
        <v>55.29</v>
      </c>
      <c r="F10" s="42"/>
      <c r="G10" s="59">
        <f>IF(ROUND(ROUND(('Loonschijven_Tranches salariale'!$Q9*0.6),4)*$X$1,2)&lt;G$8,G$8,IF('Loonschijven_Tranches salariale'!$Q9&lt;Basisbedragen!$C$23,ROUND(ROUND(('Loonschijven_Tranches salariale'!$Q9*0.6),4)*$X$1,2),ROUND(ROUND((Basisbedragen!$C$23*0.6),4)*$X$1,2)))</f>
        <v>55.29</v>
      </c>
      <c r="H10" s="59">
        <f>IF(ROUND(ROUND(('Loonschijven_Tranches salariale'!$Q9*0.55),4)*$X$1,2)&lt;H$8,H$8,IF('Loonschijven_Tranches salariale'!$Q9&lt;Basisbedragen!$C$27,ROUND(ROUND(('Loonschijven_Tranches salariale'!$Q9*0.55),4)*$X$1,2),ROUND(ROUND((Basisbedragen!$C$27*0.55),4)*$X$1,2)))</f>
        <v>55.29</v>
      </c>
      <c r="I10" s="59">
        <f t="shared" ref="I10:L41" si="5">IF(ROUND($H10-(I$6*($H10-$N$9)/5),2)&lt;I$8,I$8,ROUND($H10-(I$6*($H10-$N$9)/5),2))</f>
        <v>55.29</v>
      </c>
      <c r="J10" s="59">
        <f t="shared" si="2"/>
        <v>55.29</v>
      </c>
      <c r="K10" s="59">
        <f t="shared" si="2"/>
        <v>55.29</v>
      </c>
      <c r="L10" s="59">
        <f t="shared" si="2"/>
        <v>55.29</v>
      </c>
      <c r="M10" s="42"/>
      <c r="N10" s="42">
        <f>$N$9</f>
        <v>49.34</v>
      </c>
      <c r="O10" s="59">
        <f t="shared" si="3"/>
        <v>55.29</v>
      </c>
      <c r="P10" s="42"/>
      <c r="Q10" s="59">
        <f>IF(ROUND(ROUND(('Loonschijven_Tranches salariale'!$Q9*0.6),4)*$X$1,2)&lt;Q$8,Q$8,IF('Loonschijven_Tranches salariale'!$Q9&lt;Basisbedragen!$C$23,ROUND(ROUND(('Loonschijven_Tranches salariale'!$Q9*0.6),4)*$X$1,2),ROUND(ROUND((Basisbedragen!$C$23*0.6),4)*$X$1,2)))</f>
        <v>61.35</v>
      </c>
      <c r="R10" s="59">
        <f t="shared" ref="R10:U41" si="6">IF(ROUND($Q10-(R$6*($Q10-$W10)/5),2)&lt;$X10,$X10,ROUND($Q10-(R$6*($Q10-$W10)/5),2))</f>
        <v>60.23</v>
      </c>
      <c r="S10" s="59">
        <f t="shared" si="4"/>
        <v>60.23</v>
      </c>
      <c r="T10" s="59">
        <f t="shared" si="4"/>
        <v>60.23</v>
      </c>
      <c r="U10" s="59">
        <f t="shared" si="4"/>
        <v>60.23</v>
      </c>
      <c r="V10" s="43"/>
      <c r="W10" s="234">
        <f>N10+ROUND(Basisbedragen!$C$57*$X$1,2)</f>
        <v>54.28</v>
      </c>
      <c r="X10" s="59">
        <f>O10+ROUND(Basisbedragen!$C$57*$X$1,2)</f>
        <v>60.23</v>
      </c>
    </row>
    <row r="11" spans="1:24" ht="15.75" hidden="1" customHeight="1" outlineLevel="1" thickBot="1">
      <c r="A11" s="54">
        <f t="shared" ref="A11:A74" si="7">A10+1</f>
        <v>3</v>
      </c>
      <c r="C11" s="59">
        <f>IF(ROUND(ROUND(('Loonschijven_Tranches salariale'!$Q10*0.65),4)*$X$1,2)&lt;C$8,C$8,ROUND(ROUND(('Loonschijven_Tranches salariale'!$Q10*0.65),4)*$X$1,2))</f>
        <v>55.29</v>
      </c>
      <c r="D11" s="59">
        <f>IF(ROUND(ROUND(('Loonschijven_Tranches salariale'!$Q10*0.6),4)*$X$1,2)&lt;D$8,D$8,ROUND(ROUND(('Loonschijven_Tranches salariale'!$Q10*0.6),4)*$X$1,2))</f>
        <v>55.29</v>
      </c>
      <c r="E11" s="59">
        <f>IF(ROUND(ROUND(('Loonschijven_Tranches salariale'!$Q10*0.6),4)*$X$1,2)&lt;E$8,E$8,IF('Loonschijven_Tranches salariale'!$Q10&lt;Basisbedragen!$C$24,ROUND(ROUND(('Loonschijven_Tranches salariale'!$Q10*0.6),4)*$X$1,2),ROUND(ROUND((Basisbedragen!$C$24*0.6),4)*$X$1,2)))</f>
        <v>55.29</v>
      </c>
      <c r="F11" s="42"/>
      <c r="G11" s="59">
        <f>IF(ROUND(ROUND(('Loonschijven_Tranches salariale'!$Q10*0.6),4)*$X$1,2)&lt;G$8,G$8,IF('Loonschijven_Tranches salariale'!$Q10&lt;Basisbedragen!$C$23,ROUND(ROUND(('Loonschijven_Tranches salariale'!$Q10*0.6),4)*$X$1,2),ROUND(ROUND((Basisbedragen!$C$23*0.6),4)*$X$1,2)))</f>
        <v>55.29</v>
      </c>
      <c r="H11" s="59">
        <f>IF(ROUND(ROUND(('Loonschijven_Tranches salariale'!$Q10*0.55),4)*$X$1,2)&lt;H$8,H$8,IF('Loonschijven_Tranches salariale'!$Q10&lt;Basisbedragen!$C$27,ROUND(ROUND(('Loonschijven_Tranches salariale'!$Q10*0.55),4)*$X$1,2),ROUND(ROUND((Basisbedragen!$C$27*0.55),4)*$X$1,2)))</f>
        <v>55.29</v>
      </c>
      <c r="I11" s="59">
        <f t="shared" si="5"/>
        <v>55.29</v>
      </c>
      <c r="J11" s="59">
        <f t="shared" si="2"/>
        <v>55.29</v>
      </c>
      <c r="K11" s="59">
        <f t="shared" si="2"/>
        <v>55.29</v>
      </c>
      <c r="L11" s="59">
        <f t="shared" si="2"/>
        <v>55.29</v>
      </c>
      <c r="M11" s="42"/>
      <c r="N11" s="42">
        <f t="shared" ref="N11:N74" si="8">$N$9</f>
        <v>49.34</v>
      </c>
      <c r="O11" s="59">
        <f t="shared" si="3"/>
        <v>55.29</v>
      </c>
      <c r="P11" s="42"/>
      <c r="Q11" s="59">
        <f>IF(ROUND(ROUND(('Loonschijven_Tranches salariale'!$Q10*0.6),4)*$X$1,2)&lt;Q$8,Q$8,IF('Loonschijven_Tranches salariale'!$Q10&lt;Basisbedragen!$C$23,ROUND(ROUND(('Loonschijven_Tranches salariale'!$Q10*0.6),4)*$X$1,2),ROUND(ROUND((Basisbedragen!$C$23*0.6),4)*$X$1,2)))</f>
        <v>61.35</v>
      </c>
      <c r="R11" s="59">
        <f t="shared" si="6"/>
        <v>60.23</v>
      </c>
      <c r="S11" s="59">
        <f t="shared" si="4"/>
        <v>60.23</v>
      </c>
      <c r="T11" s="59">
        <f t="shared" si="4"/>
        <v>60.23</v>
      </c>
      <c r="U11" s="59">
        <f t="shared" si="4"/>
        <v>60.23</v>
      </c>
      <c r="V11" s="43"/>
      <c r="W11" s="234">
        <f>N11+ROUND(Basisbedragen!$C$57*$X$1,2)</f>
        <v>54.28</v>
      </c>
      <c r="X11" s="59">
        <f>O11+ROUND(Basisbedragen!$C$57*$X$1,2)</f>
        <v>60.23</v>
      </c>
    </row>
    <row r="12" spans="1:24" ht="15.75" hidden="1" customHeight="1" outlineLevel="1" thickBot="1">
      <c r="A12" s="54">
        <f t="shared" si="7"/>
        <v>4</v>
      </c>
      <c r="C12" s="59">
        <f>IF(ROUND(ROUND(('Loonschijven_Tranches salariale'!$Q11*0.65),4)*$X$1,2)&lt;C$8,C$8,ROUND(ROUND(('Loonschijven_Tranches salariale'!$Q11*0.65),4)*$X$1,2))</f>
        <v>55.29</v>
      </c>
      <c r="D12" s="59">
        <f>IF(ROUND(ROUND(('Loonschijven_Tranches salariale'!$Q11*0.6),4)*$X$1,2)&lt;D$8,D$8,ROUND(ROUND(('Loonschijven_Tranches salariale'!$Q11*0.6),4)*$X$1,2))</f>
        <v>55.29</v>
      </c>
      <c r="E12" s="59">
        <f>IF(ROUND(ROUND(('Loonschijven_Tranches salariale'!$Q11*0.6),4)*$X$1,2)&lt;E$8,E$8,IF('Loonschijven_Tranches salariale'!$Q11&lt;Basisbedragen!$C$24,ROUND(ROUND(('Loonschijven_Tranches salariale'!$Q11*0.6),4)*$X$1,2),ROUND(ROUND((Basisbedragen!$C$24*0.6),4)*$X$1,2)))</f>
        <v>55.29</v>
      </c>
      <c r="F12" s="42"/>
      <c r="G12" s="59">
        <f>IF(ROUND(ROUND(('Loonschijven_Tranches salariale'!$Q11*0.6),4)*$X$1,2)&lt;G$8,G$8,IF('Loonschijven_Tranches salariale'!$Q11&lt;Basisbedragen!$C$23,ROUND(ROUND(('Loonschijven_Tranches salariale'!$Q11*0.6),4)*$X$1,2),ROUND(ROUND((Basisbedragen!$C$23*0.6),4)*$X$1,2)))</f>
        <v>55.29</v>
      </c>
      <c r="H12" s="59">
        <f>IF(ROUND(ROUND(('Loonschijven_Tranches salariale'!$Q11*0.55),4)*$X$1,2)&lt;H$8,H$8,IF('Loonschijven_Tranches salariale'!$Q11&lt;Basisbedragen!$C$27,ROUND(ROUND(('Loonschijven_Tranches salariale'!$Q11*0.55),4)*$X$1,2),ROUND(ROUND((Basisbedragen!$C$27*0.55),4)*$X$1,2)))</f>
        <v>55.29</v>
      </c>
      <c r="I12" s="59">
        <f t="shared" si="5"/>
        <v>55.29</v>
      </c>
      <c r="J12" s="59">
        <f t="shared" si="2"/>
        <v>55.29</v>
      </c>
      <c r="K12" s="59">
        <f t="shared" si="2"/>
        <v>55.29</v>
      </c>
      <c r="L12" s="59">
        <f t="shared" si="2"/>
        <v>55.29</v>
      </c>
      <c r="M12" s="42"/>
      <c r="N12" s="42">
        <f t="shared" si="8"/>
        <v>49.34</v>
      </c>
      <c r="O12" s="59">
        <f t="shared" si="3"/>
        <v>55.29</v>
      </c>
      <c r="P12" s="42"/>
      <c r="Q12" s="59">
        <f>IF(ROUND(ROUND(('Loonschijven_Tranches salariale'!$Q11*0.6),4)*$X$1,2)&lt;Q$8,Q$8,IF('Loonschijven_Tranches salariale'!$Q11&lt;Basisbedragen!$C$23,ROUND(ROUND(('Loonschijven_Tranches salariale'!$Q11*0.6),4)*$X$1,2),ROUND(ROUND((Basisbedragen!$C$23*0.6),4)*$X$1,2)))</f>
        <v>61.35</v>
      </c>
      <c r="R12" s="59">
        <f t="shared" si="6"/>
        <v>60.23</v>
      </c>
      <c r="S12" s="59">
        <f t="shared" si="4"/>
        <v>60.23</v>
      </c>
      <c r="T12" s="59">
        <f t="shared" si="4"/>
        <v>60.23</v>
      </c>
      <c r="U12" s="59">
        <f t="shared" si="4"/>
        <v>60.23</v>
      </c>
      <c r="V12" s="43"/>
      <c r="W12" s="234">
        <f>N12+ROUND(Basisbedragen!$C$57*$X$1,2)</f>
        <v>54.28</v>
      </c>
      <c r="X12" s="59">
        <f>O12+ROUND(Basisbedragen!$C$57*$X$1,2)</f>
        <v>60.23</v>
      </c>
    </row>
    <row r="13" spans="1:24" ht="15.75" hidden="1" customHeight="1" outlineLevel="1" thickBot="1">
      <c r="A13" s="54">
        <f t="shared" si="7"/>
        <v>5</v>
      </c>
      <c r="C13" s="59">
        <f>IF(ROUND(ROUND(('Loonschijven_Tranches salariale'!$Q12*0.65),4)*$X$1,2)&lt;C$8,C$8,ROUND(ROUND(('Loonschijven_Tranches salariale'!$Q12*0.65),4)*$X$1,2))</f>
        <v>55.29</v>
      </c>
      <c r="D13" s="59">
        <f>IF(ROUND(ROUND(('Loonschijven_Tranches salariale'!$Q12*0.6),4)*$X$1,2)&lt;D$8,D$8,ROUND(ROUND(('Loonschijven_Tranches salariale'!$Q12*0.6),4)*$X$1,2))</f>
        <v>55.29</v>
      </c>
      <c r="E13" s="59">
        <f>IF(ROUND(ROUND(('Loonschijven_Tranches salariale'!$Q12*0.6),4)*$X$1,2)&lt;E$8,E$8,IF('Loonschijven_Tranches salariale'!$Q12&lt;Basisbedragen!$C$24,ROUND(ROUND(('Loonschijven_Tranches salariale'!$Q12*0.6),4)*$X$1,2),ROUND(ROUND((Basisbedragen!$C$24*0.6),4)*$X$1,2)))</f>
        <v>55.29</v>
      </c>
      <c r="F13" s="42"/>
      <c r="G13" s="59">
        <f>IF(ROUND(ROUND(('Loonschijven_Tranches salariale'!$Q12*0.6),4)*$X$1,2)&lt;G$8,G$8,IF('Loonschijven_Tranches salariale'!$Q12&lt;Basisbedragen!$C$23,ROUND(ROUND(('Loonschijven_Tranches salariale'!$Q12*0.6),4)*$X$1,2),ROUND(ROUND((Basisbedragen!$C$23*0.6),4)*$X$1,2)))</f>
        <v>55.29</v>
      </c>
      <c r="H13" s="59">
        <f>IF(ROUND(ROUND(('Loonschijven_Tranches salariale'!$Q12*0.55),4)*$X$1,2)&lt;H$8,H$8,IF('Loonschijven_Tranches salariale'!$Q12&lt;Basisbedragen!$C$27,ROUND(ROUND(('Loonschijven_Tranches salariale'!$Q12*0.55),4)*$X$1,2),ROUND(ROUND((Basisbedragen!$C$27*0.55),4)*$X$1,2)))</f>
        <v>55.29</v>
      </c>
      <c r="I13" s="59">
        <f t="shared" si="5"/>
        <v>55.29</v>
      </c>
      <c r="J13" s="59">
        <f t="shared" si="2"/>
        <v>55.29</v>
      </c>
      <c r="K13" s="59">
        <f t="shared" si="2"/>
        <v>55.29</v>
      </c>
      <c r="L13" s="59">
        <f t="shared" si="2"/>
        <v>55.29</v>
      </c>
      <c r="M13" s="42"/>
      <c r="N13" s="42">
        <f t="shared" si="8"/>
        <v>49.34</v>
      </c>
      <c r="O13" s="59">
        <f t="shared" si="3"/>
        <v>55.29</v>
      </c>
      <c r="P13" s="42"/>
      <c r="Q13" s="59">
        <f>IF(ROUND(ROUND(('Loonschijven_Tranches salariale'!$Q12*0.6),4)*$X$1,2)&lt;Q$8,Q$8,IF('Loonschijven_Tranches salariale'!$Q12&lt;Basisbedragen!$C$23,ROUND(ROUND(('Loonschijven_Tranches salariale'!$Q12*0.6),4)*$X$1,2),ROUND(ROUND((Basisbedragen!$C$23*0.6),4)*$X$1,2)))</f>
        <v>61.35</v>
      </c>
      <c r="R13" s="59">
        <f t="shared" si="6"/>
        <v>60.23</v>
      </c>
      <c r="S13" s="59">
        <f t="shared" si="4"/>
        <v>60.23</v>
      </c>
      <c r="T13" s="59">
        <f t="shared" si="4"/>
        <v>60.23</v>
      </c>
      <c r="U13" s="59">
        <f t="shared" si="4"/>
        <v>60.23</v>
      </c>
      <c r="V13" s="43"/>
      <c r="W13" s="234">
        <f>N13+ROUND(Basisbedragen!$C$57*$X$1,2)</f>
        <v>54.28</v>
      </c>
      <c r="X13" s="59">
        <f>O13+ROUND(Basisbedragen!$C$57*$X$1,2)</f>
        <v>60.23</v>
      </c>
    </row>
    <row r="14" spans="1:24" ht="15.75" hidden="1" customHeight="1" outlineLevel="1" thickBot="1">
      <c r="A14" s="54">
        <f t="shared" si="7"/>
        <v>6</v>
      </c>
      <c r="C14" s="59">
        <f>IF(ROUND(ROUND(('Loonschijven_Tranches salariale'!$Q13*0.65),4)*$X$1,2)&lt;C$8,C$8,ROUND(ROUND(('Loonschijven_Tranches salariale'!$Q13*0.65),4)*$X$1,2))</f>
        <v>55.29</v>
      </c>
      <c r="D14" s="59">
        <f>IF(ROUND(ROUND(('Loonschijven_Tranches salariale'!$Q13*0.6),4)*$X$1,2)&lt;D$8,D$8,ROUND(ROUND(('Loonschijven_Tranches salariale'!$Q13*0.6),4)*$X$1,2))</f>
        <v>55.29</v>
      </c>
      <c r="E14" s="59">
        <f>IF(ROUND(ROUND(('Loonschijven_Tranches salariale'!$Q13*0.6),4)*$X$1,2)&lt;E$8,E$8,IF('Loonschijven_Tranches salariale'!$Q13&lt;Basisbedragen!$C$24,ROUND(ROUND(('Loonschijven_Tranches salariale'!$Q13*0.6),4)*$X$1,2),ROUND(ROUND((Basisbedragen!$C$24*0.6),4)*$X$1,2)))</f>
        <v>55.29</v>
      </c>
      <c r="F14" s="42"/>
      <c r="G14" s="59">
        <f>IF(ROUND(ROUND(('Loonschijven_Tranches salariale'!$Q13*0.6),4)*$X$1,2)&lt;G$8,G$8,IF('Loonschijven_Tranches salariale'!$Q13&lt;Basisbedragen!$C$23,ROUND(ROUND(('Loonschijven_Tranches salariale'!$Q13*0.6),4)*$X$1,2),ROUND(ROUND((Basisbedragen!$C$23*0.6),4)*$X$1,2)))</f>
        <v>55.29</v>
      </c>
      <c r="H14" s="59">
        <f>IF(ROUND(ROUND(('Loonschijven_Tranches salariale'!$Q13*0.55),4)*$X$1,2)&lt;H$8,H$8,IF('Loonschijven_Tranches salariale'!$Q13&lt;Basisbedragen!$C$27,ROUND(ROUND(('Loonschijven_Tranches salariale'!$Q13*0.55),4)*$X$1,2),ROUND(ROUND((Basisbedragen!$C$27*0.55),4)*$X$1,2)))</f>
        <v>55.29</v>
      </c>
      <c r="I14" s="59">
        <f t="shared" si="5"/>
        <v>55.29</v>
      </c>
      <c r="J14" s="59">
        <f t="shared" si="2"/>
        <v>55.29</v>
      </c>
      <c r="K14" s="59">
        <f t="shared" si="2"/>
        <v>55.29</v>
      </c>
      <c r="L14" s="59">
        <f t="shared" si="2"/>
        <v>55.29</v>
      </c>
      <c r="M14" s="42"/>
      <c r="N14" s="42">
        <f t="shared" si="8"/>
        <v>49.34</v>
      </c>
      <c r="O14" s="59">
        <f t="shared" si="3"/>
        <v>55.29</v>
      </c>
      <c r="P14" s="42"/>
      <c r="Q14" s="59">
        <f>IF(ROUND(ROUND(('Loonschijven_Tranches salariale'!$Q13*0.6),4)*$X$1,2)&lt;Q$8,Q$8,IF('Loonschijven_Tranches salariale'!$Q13&lt;Basisbedragen!$C$23,ROUND(ROUND(('Loonschijven_Tranches salariale'!$Q13*0.6),4)*$X$1,2),ROUND(ROUND((Basisbedragen!$C$23*0.6),4)*$X$1,2)))</f>
        <v>61.35</v>
      </c>
      <c r="R14" s="59">
        <f t="shared" si="6"/>
        <v>60.23</v>
      </c>
      <c r="S14" s="59">
        <f t="shared" si="4"/>
        <v>60.23</v>
      </c>
      <c r="T14" s="59">
        <f t="shared" si="4"/>
        <v>60.23</v>
      </c>
      <c r="U14" s="59">
        <f t="shared" si="4"/>
        <v>60.23</v>
      </c>
      <c r="V14" s="43"/>
      <c r="W14" s="234">
        <f>N14+ROUND(Basisbedragen!$C$57*$X$1,2)</f>
        <v>54.28</v>
      </c>
      <c r="X14" s="59">
        <f>O14+ROUND(Basisbedragen!$C$57*$X$1,2)</f>
        <v>60.23</v>
      </c>
    </row>
    <row r="15" spans="1:24" ht="15.75" hidden="1" customHeight="1" outlineLevel="1" thickBot="1">
      <c r="A15" s="54">
        <f t="shared" si="7"/>
        <v>7</v>
      </c>
      <c r="C15" s="59">
        <f>IF(ROUND(ROUND(('Loonschijven_Tranches salariale'!$Q14*0.65),4)*$X$1,2)&lt;C$8,C$8,ROUND(ROUND(('Loonschijven_Tranches salariale'!$Q14*0.65),4)*$X$1,2))</f>
        <v>55.29</v>
      </c>
      <c r="D15" s="59">
        <f>IF(ROUND(ROUND(('Loonschijven_Tranches salariale'!$Q14*0.6),4)*$X$1,2)&lt;D$8,D$8,ROUND(ROUND(('Loonschijven_Tranches salariale'!$Q14*0.6),4)*$X$1,2))</f>
        <v>55.29</v>
      </c>
      <c r="E15" s="59">
        <f>IF(ROUND(ROUND(('Loonschijven_Tranches salariale'!$Q14*0.6),4)*$X$1,2)&lt;E$8,E$8,IF('Loonschijven_Tranches salariale'!$Q14&lt;Basisbedragen!$C$24,ROUND(ROUND(('Loonschijven_Tranches salariale'!$Q14*0.6),4)*$X$1,2),ROUND(ROUND((Basisbedragen!$C$24*0.6),4)*$X$1,2)))</f>
        <v>55.29</v>
      </c>
      <c r="F15" s="42"/>
      <c r="G15" s="59">
        <f>IF(ROUND(ROUND(('Loonschijven_Tranches salariale'!$Q14*0.6),4)*$X$1,2)&lt;G$8,G$8,IF('Loonschijven_Tranches salariale'!$Q14&lt;Basisbedragen!$C$23,ROUND(ROUND(('Loonschijven_Tranches salariale'!$Q14*0.6),4)*$X$1,2),ROUND(ROUND((Basisbedragen!$C$23*0.6),4)*$X$1,2)))</f>
        <v>55.29</v>
      </c>
      <c r="H15" s="59">
        <f>IF(ROUND(ROUND(('Loonschijven_Tranches salariale'!$Q14*0.55),4)*$X$1,2)&lt;H$8,H$8,IF('Loonschijven_Tranches salariale'!$Q14&lt;Basisbedragen!$C$27,ROUND(ROUND(('Loonschijven_Tranches salariale'!$Q14*0.55),4)*$X$1,2),ROUND(ROUND((Basisbedragen!$C$27*0.55),4)*$X$1,2)))</f>
        <v>55.29</v>
      </c>
      <c r="I15" s="59">
        <f t="shared" si="5"/>
        <v>55.29</v>
      </c>
      <c r="J15" s="59">
        <f t="shared" si="2"/>
        <v>55.29</v>
      </c>
      <c r="K15" s="59">
        <f t="shared" si="2"/>
        <v>55.29</v>
      </c>
      <c r="L15" s="59">
        <f t="shared" si="2"/>
        <v>55.29</v>
      </c>
      <c r="M15" s="42"/>
      <c r="N15" s="42">
        <f t="shared" si="8"/>
        <v>49.34</v>
      </c>
      <c r="O15" s="59">
        <f t="shared" si="3"/>
        <v>55.29</v>
      </c>
      <c r="P15" s="42"/>
      <c r="Q15" s="59">
        <f>IF(ROUND(ROUND(('Loonschijven_Tranches salariale'!$Q14*0.6),4)*$X$1,2)&lt;Q$8,Q$8,IF('Loonschijven_Tranches salariale'!$Q14&lt;Basisbedragen!$C$23,ROUND(ROUND(('Loonschijven_Tranches salariale'!$Q14*0.6),4)*$X$1,2),ROUND(ROUND((Basisbedragen!$C$23*0.6),4)*$X$1,2)))</f>
        <v>61.35</v>
      </c>
      <c r="R15" s="59">
        <f t="shared" si="6"/>
        <v>60.23</v>
      </c>
      <c r="S15" s="59">
        <f t="shared" si="4"/>
        <v>60.23</v>
      </c>
      <c r="T15" s="59">
        <f t="shared" si="4"/>
        <v>60.23</v>
      </c>
      <c r="U15" s="59">
        <f t="shared" si="4"/>
        <v>60.23</v>
      </c>
      <c r="V15" s="43"/>
      <c r="W15" s="234">
        <f>N15+ROUND(Basisbedragen!$C$57*$X$1,2)</f>
        <v>54.28</v>
      </c>
      <c r="X15" s="59">
        <f>O15+ROUND(Basisbedragen!$C$57*$X$1,2)</f>
        <v>60.23</v>
      </c>
    </row>
    <row r="16" spans="1:24" ht="15.75" hidden="1" customHeight="1" outlineLevel="1" thickBot="1">
      <c r="A16" s="54">
        <f t="shared" si="7"/>
        <v>8</v>
      </c>
      <c r="C16" s="59">
        <f>IF(ROUND(ROUND(('Loonschijven_Tranches salariale'!$Q15*0.65),4)*$X$1,2)&lt;C$8,C$8,ROUND(ROUND(('Loonschijven_Tranches salariale'!$Q15*0.65),4)*$X$1,2))</f>
        <v>55.29</v>
      </c>
      <c r="D16" s="59">
        <f>IF(ROUND(ROUND(('Loonschijven_Tranches salariale'!$Q15*0.6),4)*$X$1,2)&lt;D$8,D$8,ROUND(ROUND(('Loonschijven_Tranches salariale'!$Q15*0.6),4)*$X$1,2))</f>
        <v>55.29</v>
      </c>
      <c r="E16" s="59">
        <f>IF(ROUND(ROUND(('Loonschijven_Tranches salariale'!$Q15*0.6),4)*$X$1,2)&lt;E$8,E$8,IF('Loonschijven_Tranches salariale'!$Q15&lt;Basisbedragen!$C$24,ROUND(ROUND(('Loonschijven_Tranches salariale'!$Q15*0.6),4)*$X$1,2),ROUND(ROUND((Basisbedragen!$C$24*0.6),4)*$X$1,2)))</f>
        <v>55.29</v>
      </c>
      <c r="F16" s="42"/>
      <c r="G16" s="59">
        <f>IF(ROUND(ROUND(('Loonschijven_Tranches salariale'!$Q15*0.6),4)*$X$1,2)&lt;G$8,G$8,IF('Loonschijven_Tranches salariale'!$Q15&lt;Basisbedragen!$C$23,ROUND(ROUND(('Loonschijven_Tranches salariale'!$Q15*0.6),4)*$X$1,2),ROUND(ROUND((Basisbedragen!$C$23*0.6),4)*$X$1,2)))</f>
        <v>55.29</v>
      </c>
      <c r="H16" s="59">
        <f>IF(ROUND(ROUND(('Loonschijven_Tranches salariale'!$Q15*0.55),4)*$X$1,2)&lt;H$8,H$8,IF('Loonschijven_Tranches salariale'!$Q15&lt;Basisbedragen!$C$27,ROUND(ROUND(('Loonschijven_Tranches salariale'!$Q15*0.55),4)*$X$1,2),ROUND(ROUND((Basisbedragen!$C$27*0.55),4)*$X$1,2)))</f>
        <v>55.29</v>
      </c>
      <c r="I16" s="59">
        <f t="shared" si="5"/>
        <v>55.29</v>
      </c>
      <c r="J16" s="59">
        <f t="shared" si="2"/>
        <v>55.29</v>
      </c>
      <c r="K16" s="59">
        <f t="shared" si="2"/>
        <v>55.29</v>
      </c>
      <c r="L16" s="59">
        <f t="shared" si="2"/>
        <v>55.29</v>
      </c>
      <c r="M16" s="42"/>
      <c r="N16" s="42">
        <f t="shared" si="8"/>
        <v>49.34</v>
      </c>
      <c r="O16" s="59">
        <f t="shared" si="3"/>
        <v>55.29</v>
      </c>
      <c r="P16" s="42"/>
      <c r="Q16" s="59">
        <f>IF(ROUND(ROUND(('Loonschijven_Tranches salariale'!$Q15*0.6),4)*$X$1,2)&lt;Q$8,Q$8,IF('Loonschijven_Tranches salariale'!$Q15&lt;Basisbedragen!$C$23,ROUND(ROUND(('Loonschijven_Tranches salariale'!$Q15*0.6),4)*$X$1,2),ROUND(ROUND((Basisbedragen!$C$23*0.6),4)*$X$1,2)))</f>
        <v>61.35</v>
      </c>
      <c r="R16" s="59">
        <f t="shared" si="6"/>
        <v>60.23</v>
      </c>
      <c r="S16" s="59">
        <f t="shared" si="4"/>
        <v>60.23</v>
      </c>
      <c r="T16" s="59">
        <f t="shared" si="4"/>
        <v>60.23</v>
      </c>
      <c r="U16" s="59">
        <f t="shared" si="4"/>
        <v>60.23</v>
      </c>
      <c r="V16" s="43"/>
      <c r="W16" s="234">
        <f>N16+ROUND(Basisbedragen!$C$57*$X$1,2)</f>
        <v>54.28</v>
      </c>
      <c r="X16" s="59">
        <f>O16+ROUND(Basisbedragen!$C$57*$X$1,2)</f>
        <v>60.23</v>
      </c>
    </row>
    <row r="17" spans="1:24" ht="15.75" hidden="1" customHeight="1" outlineLevel="1" thickBot="1">
      <c r="A17" s="54">
        <f t="shared" si="7"/>
        <v>9</v>
      </c>
      <c r="C17" s="59">
        <f>IF(ROUND(ROUND(('Loonschijven_Tranches salariale'!$Q16*0.65),4)*$X$1,2)&lt;C$8,C$8,ROUND(ROUND(('Loonschijven_Tranches salariale'!$Q16*0.65),4)*$X$1,2))</f>
        <v>55.29</v>
      </c>
      <c r="D17" s="59">
        <f>IF(ROUND(ROUND(('Loonschijven_Tranches salariale'!$Q16*0.6),4)*$X$1,2)&lt;D$8,D$8,ROUND(ROUND(('Loonschijven_Tranches salariale'!$Q16*0.6),4)*$X$1,2))</f>
        <v>55.29</v>
      </c>
      <c r="E17" s="59">
        <f>IF(ROUND(ROUND(('Loonschijven_Tranches salariale'!$Q16*0.6),4)*$X$1,2)&lt;E$8,E$8,IF('Loonschijven_Tranches salariale'!$Q16&lt;Basisbedragen!$C$24,ROUND(ROUND(('Loonschijven_Tranches salariale'!$Q16*0.6),4)*$X$1,2),ROUND(ROUND((Basisbedragen!$C$24*0.6),4)*$X$1,2)))</f>
        <v>55.29</v>
      </c>
      <c r="F17" s="42"/>
      <c r="G17" s="59">
        <f>IF(ROUND(ROUND(('Loonschijven_Tranches salariale'!$Q16*0.6),4)*$X$1,2)&lt;G$8,G$8,IF('Loonschijven_Tranches salariale'!$Q16&lt;Basisbedragen!$C$23,ROUND(ROUND(('Loonschijven_Tranches salariale'!$Q16*0.6),4)*$X$1,2),ROUND(ROUND((Basisbedragen!$C$23*0.6),4)*$X$1,2)))</f>
        <v>55.29</v>
      </c>
      <c r="H17" s="59">
        <f>IF(ROUND(ROUND(('Loonschijven_Tranches salariale'!$Q16*0.55),4)*$X$1,2)&lt;H$8,H$8,IF('Loonschijven_Tranches salariale'!$Q16&lt;Basisbedragen!$C$27,ROUND(ROUND(('Loonschijven_Tranches salariale'!$Q16*0.55),4)*$X$1,2),ROUND(ROUND((Basisbedragen!$C$27*0.55),4)*$X$1,2)))</f>
        <v>55.29</v>
      </c>
      <c r="I17" s="59">
        <f t="shared" si="5"/>
        <v>55.29</v>
      </c>
      <c r="J17" s="59">
        <f t="shared" si="2"/>
        <v>55.29</v>
      </c>
      <c r="K17" s="59">
        <f t="shared" si="2"/>
        <v>55.29</v>
      </c>
      <c r="L17" s="59">
        <f t="shared" si="2"/>
        <v>55.29</v>
      </c>
      <c r="M17" s="42"/>
      <c r="N17" s="42">
        <f t="shared" si="8"/>
        <v>49.34</v>
      </c>
      <c r="O17" s="59">
        <f t="shared" si="3"/>
        <v>55.29</v>
      </c>
      <c r="P17" s="42"/>
      <c r="Q17" s="59">
        <f>IF(ROUND(ROUND(('Loonschijven_Tranches salariale'!$Q16*0.6),4)*$X$1,2)&lt;Q$8,Q$8,IF('Loonschijven_Tranches salariale'!$Q16&lt;Basisbedragen!$C$23,ROUND(ROUND(('Loonschijven_Tranches salariale'!$Q16*0.6),4)*$X$1,2),ROUND(ROUND((Basisbedragen!$C$23*0.6),4)*$X$1,2)))</f>
        <v>61.35</v>
      </c>
      <c r="R17" s="59">
        <f t="shared" si="6"/>
        <v>60.23</v>
      </c>
      <c r="S17" s="59">
        <f t="shared" si="4"/>
        <v>60.23</v>
      </c>
      <c r="T17" s="59">
        <f t="shared" si="4"/>
        <v>60.23</v>
      </c>
      <c r="U17" s="59">
        <f t="shared" si="4"/>
        <v>60.23</v>
      </c>
      <c r="V17" s="43"/>
      <c r="W17" s="234">
        <f>N17+ROUND(Basisbedragen!$C$57*$X$1,2)</f>
        <v>54.28</v>
      </c>
      <c r="X17" s="59">
        <f>O17+ROUND(Basisbedragen!$C$57*$X$1,2)</f>
        <v>60.23</v>
      </c>
    </row>
    <row r="18" spans="1:24" ht="15.75" hidden="1" customHeight="1" outlineLevel="1" thickBot="1">
      <c r="A18" s="54">
        <f t="shared" si="7"/>
        <v>10</v>
      </c>
      <c r="C18" s="59">
        <f>IF(ROUND(ROUND(('Loonschijven_Tranches salariale'!$Q17*0.65),4)*$X$1,2)&lt;C$8,C$8,ROUND(ROUND(('Loonschijven_Tranches salariale'!$Q17*0.65),4)*$X$1,2))</f>
        <v>55.29</v>
      </c>
      <c r="D18" s="59">
        <f>IF(ROUND(ROUND(('Loonschijven_Tranches salariale'!$Q17*0.6),4)*$X$1,2)&lt;D$8,D$8,ROUND(ROUND(('Loonschijven_Tranches salariale'!$Q17*0.6),4)*$X$1,2))</f>
        <v>55.29</v>
      </c>
      <c r="E18" s="59">
        <f>IF(ROUND(ROUND(('Loonschijven_Tranches salariale'!$Q17*0.6),4)*$X$1,2)&lt;E$8,E$8,IF('Loonschijven_Tranches salariale'!$Q17&lt;Basisbedragen!$C$24,ROUND(ROUND(('Loonschijven_Tranches salariale'!$Q17*0.6),4)*$X$1,2),ROUND(ROUND((Basisbedragen!$C$24*0.6),4)*$X$1,2)))</f>
        <v>55.29</v>
      </c>
      <c r="F18" s="42"/>
      <c r="G18" s="59">
        <f>IF(ROUND(ROUND(('Loonschijven_Tranches salariale'!$Q17*0.6),4)*$X$1,2)&lt;G$8,G$8,IF('Loonschijven_Tranches salariale'!$Q17&lt;Basisbedragen!$C$23,ROUND(ROUND(('Loonschijven_Tranches salariale'!$Q17*0.6),4)*$X$1,2),ROUND(ROUND((Basisbedragen!$C$23*0.6),4)*$X$1,2)))</f>
        <v>55.29</v>
      </c>
      <c r="H18" s="59">
        <f>IF(ROUND(ROUND(('Loonschijven_Tranches salariale'!$Q17*0.55),4)*$X$1,2)&lt;H$8,H$8,IF('Loonschijven_Tranches salariale'!$Q17&lt;Basisbedragen!$C$27,ROUND(ROUND(('Loonschijven_Tranches salariale'!$Q17*0.55),4)*$X$1,2),ROUND(ROUND((Basisbedragen!$C$27*0.55),4)*$X$1,2)))</f>
        <v>55.29</v>
      </c>
      <c r="I18" s="59">
        <f t="shared" si="5"/>
        <v>55.29</v>
      </c>
      <c r="J18" s="59">
        <f t="shared" si="2"/>
        <v>55.29</v>
      </c>
      <c r="K18" s="59">
        <f t="shared" si="2"/>
        <v>55.29</v>
      </c>
      <c r="L18" s="59">
        <f t="shared" si="2"/>
        <v>55.29</v>
      </c>
      <c r="M18" s="42"/>
      <c r="N18" s="42">
        <f t="shared" si="8"/>
        <v>49.34</v>
      </c>
      <c r="O18" s="59">
        <f t="shared" si="3"/>
        <v>55.29</v>
      </c>
      <c r="P18" s="42"/>
      <c r="Q18" s="59">
        <f>IF(ROUND(ROUND(('Loonschijven_Tranches salariale'!$Q17*0.6),4)*$X$1,2)&lt;Q$8,Q$8,IF('Loonschijven_Tranches salariale'!$Q17&lt;Basisbedragen!$C$23,ROUND(ROUND(('Loonschijven_Tranches salariale'!$Q17*0.6),4)*$X$1,2),ROUND(ROUND((Basisbedragen!$C$23*0.6),4)*$X$1,2)))</f>
        <v>61.35</v>
      </c>
      <c r="R18" s="59">
        <f t="shared" si="6"/>
        <v>60.23</v>
      </c>
      <c r="S18" s="59">
        <f t="shared" si="4"/>
        <v>60.23</v>
      </c>
      <c r="T18" s="59">
        <f t="shared" si="4"/>
        <v>60.23</v>
      </c>
      <c r="U18" s="59">
        <f t="shared" si="4"/>
        <v>60.23</v>
      </c>
      <c r="V18" s="43"/>
      <c r="W18" s="234">
        <f>N18+ROUND(Basisbedragen!$C$57*$X$1,2)</f>
        <v>54.28</v>
      </c>
      <c r="X18" s="59">
        <f>O18+ROUND(Basisbedragen!$C$57*$X$1,2)</f>
        <v>60.23</v>
      </c>
    </row>
    <row r="19" spans="1:24" ht="15.75" hidden="1" customHeight="1" outlineLevel="1" thickBot="1">
      <c r="A19" s="54">
        <f t="shared" si="7"/>
        <v>11</v>
      </c>
      <c r="C19" s="59">
        <f>IF(ROUND(ROUND(('Loonschijven_Tranches salariale'!$Q18*0.65),4)*$X$1,2)&lt;C$8,C$8,ROUND(ROUND(('Loonschijven_Tranches salariale'!$Q18*0.65),4)*$X$1,2))</f>
        <v>55.29</v>
      </c>
      <c r="D19" s="59">
        <f>IF(ROUND(ROUND(('Loonschijven_Tranches salariale'!$Q18*0.6),4)*$X$1,2)&lt;D$8,D$8,ROUND(ROUND(('Loonschijven_Tranches salariale'!$Q18*0.6),4)*$X$1,2))</f>
        <v>55.29</v>
      </c>
      <c r="E19" s="59">
        <f>IF(ROUND(ROUND(('Loonschijven_Tranches salariale'!$Q18*0.6),4)*$X$1,2)&lt;E$8,E$8,IF('Loonschijven_Tranches salariale'!$Q18&lt;Basisbedragen!$C$24,ROUND(ROUND(('Loonschijven_Tranches salariale'!$Q18*0.6),4)*$X$1,2),ROUND(ROUND((Basisbedragen!$C$24*0.6),4)*$X$1,2)))</f>
        <v>55.29</v>
      </c>
      <c r="F19" s="42"/>
      <c r="G19" s="59">
        <f>IF(ROUND(ROUND(('Loonschijven_Tranches salariale'!$Q18*0.6),4)*$X$1,2)&lt;G$8,G$8,IF('Loonschijven_Tranches salariale'!$Q18&lt;Basisbedragen!$C$23,ROUND(ROUND(('Loonschijven_Tranches salariale'!$Q18*0.6),4)*$X$1,2),ROUND(ROUND((Basisbedragen!$C$23*0.6),4)*$X$1,2)))</f>
        <v>55.29</v>
      </c>
      <c r="H19" s="59">
        <f>IF(ROUND(ROUND(('Loonschijven_Tranches salariale'!$Q18*0.55),4)*$X$1,2)&lt;H$8,H$8,IF('Loonschijven_Tranches salariale'!$Q18&lt;Basisbedragen!$C$27,ROUND(ROUND(('Loonschijven_Tranches salariale'!$Q18*0.55),4)*$X$1,2),ROUND(ROUND((Basisbedragen!$C$27*0.55),4)*$X$1,2)))</f>
        <v>55.29</v>
      </c>
      <c r="I19" s="59">
        <f t="shared" si="5"/>
        <v>55.29</v>
      </c>
      <c r="J19" s="59">
        <f t="shared" si="2"/>
        <v>55.29</v>
      </c>
      <c r="K19" s="59">
        <f t="shared" si="2"/>
        <v>55.29</v>
      </c>
      <c r="L19" s="59">
        <f t="shared" si="2"/>
        <v>55.29</v>
      </c>
      <c r="M19" s="42"/>
      <c r="N19" s="42">
        <f t="shared" si="8"/>
        <v>49.34</v>
      </c>
      <c r="O19" s="59">
        <f t="shared" si="3"/>
        <v>55.29</v>
      </c>
      <c r="P19" s="42"/>
      <c r="Q19" s="59">
        <f>IF(ROUND(ROUND(('Loonschijven_Tranches salariale'!$Q18*0.6),4)*$X$1,2)&lt;Q$8,Q$8,IF('Loonschijven_Tranches salariale'!$Q18&lt;Basisbedragen!$C$23,ROUND(ROUND(('Loonschijven_Tranches salariale'!$Q18*0.6),4)*$X$1,2),ROUND(ROUND((Basisbedragen!$C$23*0.6),4)*$X$1,2)))</f>
        <v>61.35</v>
      </c>
      <c r="R19" s="59">
        <f t="shared" si="6"/>
        <v>60.23</v>
      </c>
      <c r="S19" s="59">
        <f t="shared" si="4"/>
        <v>60.23</v>
      </c>
      <c r="T19" s="59">
        <f t="shared" si="4"/>
        <v>60.23</v>
      </c>
      <c r="U19" s="59">
        <f t="shared" si="4"/>
        <v>60.23</v>
      </c>
      <c r="V19" s="43"/>
      <c r="W19" s="234">
        <f>N19+ROUND(Basisbedragen!$C$57*$X$1,2)</f>
        <v>54.28</v>
      </c>
      <c r="X19" s="59">
        <f>O19+ROUND(Basisbedragen!$C$57*$X$1,2)</f>
        <v>60.23</v>
      </c>
    </row>
    <row r="20" spans="1:24" ht="15.75" hidden="1" customHeight="1" outlineLevel="1" thickBot="1">
      <c r="A20" s="54">
        <f t="shared" si="7"/>
        <v>12</v>
      </c>
      <c r="C20" s="59">
        <f>IF(ROUND(ROUND(('Loonschijven_Tranches salariale'!$Q19*0.65),4)*$X$1,2)&lt;C$8,C$8,ROUND(ROUND(('Loonschijven_Tranches salariale'!$Q19*0.65),4)*$X$1,2))</f>
        <v>55.29</v>
      </c>
      <c r="D20" s="59">
        <f>IF(ROUND(ROUND(('Loonschijven_Tranches salariale'!$Q19*0.6),4)*$X$1,2)&lt;D$8,D$8,ROUND(ROUND(('Loonschijven_Tranches salariale'!$Q19*0.6),4)*$X$1,2))</f>
        <v>55.29</v>
      </c>
      <c r="E20" s="59">
        <f>IF(ROUND(ROUND(('Loonschijven_Tranches salariale'!$Q19*0.6),4)*$X$1,2)&lt;E$8,E$8,IF('Loonschijven_Tranches salariale'!$Q19&lt;Basisbedragen!$C$24,ROUND(ROUND(('Loonschijven_Tranches salariale'!$Q19*0.6),4)*$X$1,2),ROUND(ROUND((Basisbedragen!$C$24*0.6),4)*$X$1,2)))</f>
        <v>55.29</v>
      </c>
      <c r="F20" s="42"/>
      <c r="G20" s="59">
        <f>IF(ROUND(ROUND(('Loonschijven_Tranches salariale'!$Q19*0.6),4)*$X$1,2)&lt;G$8,G$8,IF('Loonschijven_Tranches salariale'!$Q19&lt;Basisbedragen!$C$23,ROUND(ROUND(('Loonschijven_Tranches salariale'!$Q19*0.6),4)*$X$1,2),ROUND(ROUND((Basisbedragen!$C$23*0.6),4)*$X$1,2)))</f>
        <v>55.29</v>
      </c>
      <c r="H20" s="59">
        <f>IF(ROUND(ROUND(('Loonschijven_Tranches salariale'!$Q19*0.55),4)*$X$1,2)&lt;H$8,H$8,IF('Loonschijven_Tranches salariale'!$Q19&lt;Basisbedragen!$C$27,ROUND(ROUND(('Loonschijven_Tranches salariale'!$Q19*0.55),4)*$X$1,2),ROUND(ROUND((Basisbedragen!$C$27*0.55),4)*$X$1,2)))</f>
        <v>55.29</v>
      </c>
      <c r="I20" s="59">
        <f t="shared" si="5"/>
        <v>55.29</v>
      </c>
      <c r="J20" s="59">
        <f t="shared" si="2"/>
        <v>55.29</v>
      </c>
      <c r="K20" s="59">
        <f t="shared" si="2"/>
        <v>55.29</v>
      </c>
      <c r="L20" s="59">
        <f t="shared" si="2"/>
        <v>55.29</v>
      </c>
      <c r="M20" s="42"/>
      <c r="N20" s="42">
        <f t="shared" si="8"/>
        <v>49.34</v>
      </c>
      <c r="O20" s="59">
        <f t="shared" si="3"/>
        <v>55.29</v>
      </c>
      <c r="P20" s="42"/>
      <c r="Q20" s="59">
        <f>IF(ROUND(ROUND(('Loonschijven_Tranches salariale'!$Q19*0.6),4)*$X$1,2)&lt;Q$8,Q$8,IF('Loonschijven_Tranches salariale'!$Q19&lt;Basisbedragen!$C$23,ROUND(ROUND(('Loonschijven_Tranches salariale'!$Q19*0.6),4)*$X$1,2),ROUND(ROUND((Basisbedragen!$C$23*0.6),4)*$X$1,2)))</f>
        <v>61.35</v>
      </c>
      <c r="R20" s="59">
        <f t="shared" si="6"/>
        <v>60.23</v>
      </c>
      <c r="S20" s="59">
        <f t="shared" si="4"/>
        <v>60.23</v>
      </c>
      <c r="T20" s="59">
        <f t="shared" si="4"/>
        <v>60.23</v>
      </c>
      <c r="U20" s="59">
        <f t="shared" si="4"/>
        <v>60.23</v>
      </c>
      <c r="V20" s="43"/>
      <c r="W20" s="234">
        <f>N20+ROUND(Basisbedragen!$C$57*$X$1,2)</f>
        <v>54.28</v>
      </c>
      <c r="X20" s="59">
        <f>O20+ROUND(Basisbedragen!$C$57*$X$1,2)</f>
        <v>60.23</v>
      </c>
    </row>
    <row r="21" spans="1:24" ht="15.75" hidden="1" customHeight="1" outlineLevel="1" thickBot="1">
      <c r="A21" s="54">
        <f t="shared" si="7"/>
        <v>13</v>
      </c>
      <c r="C21" s="59">
        <f>IF(ROUND(ROUND(('Loonschijven_Tranches salariale'!$Q20*0.65),4)*$X$1,2)&lt;C$8,C$8,ROUND(ROUND(('Loonschijven_Tranches salariale'!$Q20*0.65),4)*$X$1,2))</f>
        <v>55.29</v>
      </c>
      <c r="D21" s="59">
        <f>IF(ROUND(ROUND(('Loonschijven_Tranches salariale'!$Q20*0.6),4)*$X$1,2)&lt;D$8,D$8,ROUND(ROUND(('Loonschijven_Tranches salariale'!$Q20*0.6),4)*$X$1,2))</f>
        <v>55.29</v>
      </c>
      <c r="E21" s="59">
        <f>IF(ROUND(ROUND(('Loonschijven_Tranches salariale'!$Q20*0.6),4)*$X$1,2)&lt;E$8,E$8,IF('Loonschijven_Tranches salariale'!$Q20&lt;Basisbedragen!$C$24,ROUND(ROUND(('Loonschijven_Tranches salariale'!$Q20*0.6),4)*$X$1,2),ROUND(ROUND((Basisbedragen!$C$24*0.6),4)*$X$1,2)))</f>
        <v>55.29</v>
      </c>
      <c r="F21" s="42"/>
      <c r="G21" s="59">
        <f>IF(ROUND(ROUND(('Loonschijven_Tranches salariale'!$Q20*0.6),4)*$X$1,2)&lt;G$8,G$8,IF('Loonschijven_Tranches salariale'!$Q20&lt;Basisbedragen!$C$23,ROUND(ROUND(('Loonschijven_Tranches salariale'!$Q20*0.6),4)*$X$1,2),ROUND(ROUND((Basisbedragen!$C$23*0.6),4)*$X$1,2)))</f>
        <v>55.29</v>
      </c>
      <c r="H21" s="59">
        <f>IF(ROUND(ROUND(('Loonschijven_Tranches salariale'!$Q20*0.55),4)*$X$1,2)&lt;H$8,H$8,IF('Loonschijven_Tranches salariale'!$Q20&lt;Basisbedragen!$C$27,ROUND(ROUND(('Loonschijven_Tranches salariale'!$Q20*0.55),4)*$X$1,2),ROUND(ROUND((Basisbedragen!$C$27*0.55),4)*$X$1,2)))</f>
        <v>55.29</v>
      </c>
      <c r="I21" s="59">
        <f t="shared" si="5"/>
        <v>55.29</v>
      </c>
      <c r="J21" s="59">
        <f t="shared" si="2"/>
        <v>55.29</v>
      </c>
      <c r="K21" s="59">
        <f t="shared" si="2"/>
        <v>55.29</v>
      </c>
      <c r="L21" s="59">
        <f t="shared" si="2"/>
        <v>55.29</v>
      </c>
      <c r="M21" s="42"/>
      <c r="N21" s="42">
        <f t="shared" si="8"/>
        <v>49.34</v>
      </c>
      <c r="O21" s="59">
        <f t="shared" si="3"/>
        <v>55.29</v>
      </c>
      <c r="P21" s="42"/>
      <c r="Q21" s="59">
        <f>IF(ROUND(ROUND(('Loonschijven_Tranches salariale'!$Q20*0.6),4)*$X$1,2)&lt;Q$8,Q$8,IF('Loonschijven_Tranches salariale'!$Q20&lt;Basisbedragen!$C$23,ROUND(ROUND(('Loonschijven_Tranches salariale'!$Q20*0.6),4)*$X$1,2),ROUND(ROUND((Basisbedragen!$C$23*0.6),4)*$X$1,2)))</f>
        <v>61.35</v>
      </c>
      <c r="R21" s="59">
        <f t="shared" si="6"/>
        <v>60.23</v>
      </c>
      <c r="S21" s="59">
        <f t="shared" si="4"/>
        <v>60.23</v>
      </c>
      <c r="T21" s="59">
        <f t="shared" si="4"/>
        <v>60.23</v>
      </c>
      <c r="U21" s="59">
        <f t="shared" si="4"/>
        <v>60.23</v>
      </c>
      <c r="V21" s="43"/>
      <c r="W21" s="234">
        <f>N21+ROUND(Basisbedragen!$C$57*$X$1,2)</f>
        <v>54.28</v>
      </c>
      <c r="X21" s="59">
        <f>O21+ROUND(Basisbedragen!$C$57*$X$1,2)</f>
        <v>60.23</v>
      </c>
    </row>
    <row r="22" spans="1:24" ht="15.75" hidden="1" customHeight="1" outlineLevel="1" thickBot="1">
      <c r="A22" s="54">
        <f t="shared" si="7"/>
        <v>14</v>
      </c>
      <c r="C22" s="59">
        <f>IF(ROUND(ROUND(('Loonschijven_Tranches salariale'!$Q21*0.65),4)*$X$1,2)&lt;C$8,C$8,ROUND(ROUND(('Loonschijven_Tranches salariale'!$Q21*0.65),4)*$X$1,2))</f>
        <v>55.29</v>
      </c>
      <c r="D22" s="59">
        <f>IF(ROUND(ROUND(('Loonschijven_Tranches salariale'!$Q21*0.6),4)*$X$1,2)&lt;D$8,D$8,ROUND(ROUND(('Loonschijven_Tranches salariale'!$Q21*0.6),4)*$X$1,2))</f>
        <v>55.29</v>
      </c>
      <c r="E22" s="59">
        <f>IF(ROUND(ROUND(('Loonschijven_Tranches salariale'!$Q21*0.6),4)*$X$1,2)&lt;E$8,E$8,IF('Loonschijven_Tranches salariale'!$Q21&lt;Basisbedragen!$C$24,ROUND(ROUND(('Loonschijven_Tranches salariale'!$Q21*0.6),4)*$X$1,2),ROUND(ROUND((Basisbedragen!$C$24*0.6),4)*$X$1,2)))</f>
        <v>55.29</v>
      </c>
      <c r="F22" s="42"/>
      <c r="G22" s="59">
        <f>IF(ROUND(ROUND(('Loonschijven_Tranches salariale'!$Q21*0.6),4)*$X$1,2)&lt;G$8,G$8,IF('Loonschijven_Tranches salariale'!$Q21&lt;Basisbedragen!$C$23,ROUND(ROUND(('Loonschijven_Tranches salariale'!$Q21*0.6),4)*$X$1,2),ROUND(ROUND((Basisbedragen!$C$23*0.6),4)*$X$1,2)))</f>
        <v>55.29</v>
      </c>
      <c r="H22" s="59">
        <f>IF(ROUND(ROUND(('Loonschijven_Tranches salariale'!$Q21*0.55),4)*$X$1,2)&lt;H$8,H$8,IF('Loonschijven_Tranches salariale'!$Q21&lt;Basisbedragen!$C$27,ROUND(ROUND(('Loonschijven_Tranches salariale'!$Q21*0.55),4)*$X$1,2),ROUND(ROUND((Basisbedragen!$C$27*0.55),4)*$X$1,2)))</f>
        <v>55.29</v>
      </c>
      <c r="I22" s="59">
        <f t="shared" si="5"/>
        <v>55.29</v>
      </c>
      <c r="J22" s="59">
        <f t="shared" si="2"/>
        <v>55.29</v>
      </c>
      <c r="K22" s="59">
        <f t="shared" si="2"/>
        <v>55.29</v>
      </c>
      <c r="L22" s="59">
        <f t="shared" si="2"/>
        <v>55.29</v>
      </c>
      <c r="M22" s="42"/>
      <c r="N22" s="42">
        <f t="shared" si="8"/>
        <v>49.34</v>
      </c>
      <c r="O22" s="59">
        <f t="shared" si="3"/>
        <v>55.29</v>
      </c>
      <c r="P22" s="42"/>
      <c r="Q22" s="59">
        <f>IF(ROUND(ROUND(('Loonschijven_Tranches salariale'!$Q21*0.6),4)*$X$1,2)&lt;Q$8,Q$8,IF('Loonschijven_Tranches salariale'!$Q21&lt;Basisbedragen!$C$23,ROUND(ROUND(('Loonschijven_Tranches salariale'!$Q21*0.6),4)*$X$1,2),ROUND(ROUND((Basisbedragen!$C$23*0.6),4)*$X$1,2)))</f>
        <v>61.35</v>
      </c>
      <c r="R22" s="59">
        <f t="shared" si="6"/>
        <v>60.23</v>
      </c>
      <c r="S22" s="59">
        <f t="shared" si="4"/>
        <v>60.23</v>
      </c>
      <c r="T22" s="59">
        <f t="shared" si="4"/>
        <v>60.23</v>
      </c>
      <c r="U22" s="59">
        <f t="shared" si="4"/>
        <v>60.23</v>
      </c>
      <c r="V22" s="43"/>
      <c r="W22" s="234">
        <f>N22+ROUND(Basisbedragen!$C$57*$X$1,2)</f>
        <v>54.28</v>
      </c>
      <c r="X22" s="59">
        <f>O22+ROUND(Basisbedragen!$C$57*$X$1,2)</f>
        <v>60.23</v>
      </c>
    </row>
    <row r="23" spans="1:24" ht="15.75" hidden="1" customHeight="1" outlineLevel="1" thickBot="1">
      <c r="A23" s="54">
        <f t="shared" si="7"/>
        <v>15</v>
      </c>
      <c r="C23" s="59">
        <f>IF(ROUND(ROUND(('Loonschijven_Tranches salariale'!$Q22*0.65),4)*$X$1,2)&lt;C$8,C$8,ROUND(ROUND(('Loonschijven_Tranches salariale'!$Q22*0.65),4)*$X$1,2))</f>
        <v>55.29</v>
      </c>
      <c r="D23" s="59">
        <f>IF(ROUND(ROUND(('Loonschijven_Tranches salariale'!$Q22*0.6),4)*$X$1,2)&lt;D$8,D$8,ROUND(ROUND(('Loonschijven_Tranches salariale'!$Q22*0.6),4)*$X$1,2))</f>
        <v>55.29</v>
      </c>
      <c r="E23" s="59">
        <f>IF(ROUND(ROUND(('Loonschijven_Tranches salariale'!$Q22*0.6),4)*$X$1,2)&lt;E$8,E$8,IF('Loonschijven_Tranches salariale'!$Q22&lt;Basisbedragen!$C$24,ROUND(ROUND(('Loonschijven_Tranches salariale'!$Q22*0.6),4)*$X$1,2),ROUND(ROUND((Basisbedragen!$C$24*0.6),4)*$X$1,2)))</f>
        <v>55.29</v>
      </c>
      <c r="F23" s="42"/>
      <c r="G23" s="59">
        <f>IF(ROUND(ROUND(('Loonschijven_Tranches salariale'!$Q22*0.6),4)*$X$1,2)&lt;G$8,G$8,IF('Loonschijven_Tranches salariale'!$Q22&lt;Basisbedragen!$C$23,ROUND(ROUND(('Loonschijven_Tranches salariale'!$Q22*0.6),4)*$X$1,2),ROUND(ROUND((Basisbedragen!$C$23*0.6),4)*$X$1,2)))</f>
        <v>55.29</v>
      </c>
      <c r="H23" s="59">
        <f>IF(ROUND(ROUND(('Loonschijven_Tranches salariale'!$Q22*0.55),4)*$X$1,2)&lt;H$8,H$8,IF('Loonschijven_Tranches salariale'!$Q22&lt;Basisbedragen!$C$27,ROUND(ROUND(('Loonschijven_Tranches salariale'!$Q22*0.55),4)*$X$1,2),ROUND(ROUND((Basisbedragen!$C$27*0.55),4)*$X$1,2)))</f>
        <v>55.29</v>
      </c>
      <c r="I23" s="59">
        <f t="shared" si="5"/>
        <v>55.29</v>
      </c>
      <c r="J23" s="59">
        <f t="shared" si="2"/>
        <v>55.29</v>
      </c>
      <c r="K23" s="59">
        <f t="shared" si="2"/>
        <v>55.29</v>
      </c>
      <c r="L23" s="59">
        <f t="shared" si="2"/>
        <v>55.29</v>
      </c>
      <c r="M23" s="42"/>
      <c r="N23" s="42">
        <f t="shared" si="8"/>
        <v>49.34</v>
      </c>
      <c r="O23" s="59">
        <f t="shared" si="3"/>
        <v>55.29</v>
      </c>
      <c r="P23" s="42"/>
      <c r="Q23" s="59">
        <f>IF(ROUND(ROUND(('Loonschijven_Tranches salariale'!$Q22*0.6),4)*$X$1,2)&lt;Q$8,Q$8,IF('Loonschijven_Tranches salariale'!$Q22&lt;Basisbedragen!$C$23,ROUND(ROUND(('Loonschijven_Tranches salariale'!$Q22*0.6),4)*$X$1,2),ROUND(ROUND((Basisbedragen!$C$23*0.6),4)*$X$1,2)))</f>
        <v>61.35</v>
      </c>
      <c r="R23" s="59">
        <f t="shared" si="6"/>
        <v>60.23</v>
      </c>
      <c r="S23" s="59">
        <f t="shared" si="4"/>
        <v>60.23</v>
      </c>
      <c r="T23" s="59">
        <f t="shared" si="4"/>
        <v>60.23</v>
      </c>
      <c r="U23" s="59">
        <f t="shared" si="4"/>
        <v>60.23</v>
      </c>
      <c r="V23" s="43"/>
      <c r="W23" s="234">
        <f>N23+ROUND(Basisbedragen!$C$57*$X$1,2)</f>
        <v>54.28</v>
      </c>
      <c r="X23" s="59">
        <f>O23+ROUND(Basisbedragen!$C$57*$X$1,2)</f>
        <v>60.23</v>
      </c>
    </row>
    <row r="24" spans="1:24" ht="15.75" hidden="1" customHeight="1" outlineLevel="1" thickBot="1">
      <c r="A24" s="54">
        <f t="shared" si="7"/>
        <v>16</v>
      </c>
      <c r="C24" s="59">
        <f>IF(ROUND(ROUND(('Loonschijven_Tranches salariale'!$Q23*0.65),4)*$X$1,2)&lt;C$8,C$8,ROUND(ROUND(('Loonschijven_Tranches salariale'!$Q23*0.65),4)*$X$1,2))</f>
        <v>55.29</v>
      </c>
      <c r="D24" s="59">
        <f>IF(ROUND(ROUND(('Loonschijven_Tranches salariale'!$Q23*0.6),4)*$X$1,2)&lt;D$8,D$8,ROUND(ROUND(('Loonschijven_Tranches salariale'!$Q23*0.6),4)*$X$1,2))</f>
        <v>55.29</v>
      </c>
      <c r="E24" s="59">
        <f>IF(ROUND(ROUND(('Loonschijven_Tranches salariale'!$Q23*0.6),4)*$X$1,2)&lt;E$8,E$8,IF('Loonschijven_Tranches salariale'!$Q23&lt;Basisbedragen!$C$24,ROUND(ROUND(('Loonschijven_Tranches salariale'!$Q23*0.6),4)*$X$1,2),ROUND(ROUND((Basisbedragen!$C$24*0.6),4)*$X$1,2)))</f>
        <v>55.29</v>
      </c>
      <c r="F24" s="42"/>
      <c r="G24" s="59">
        <f>IF(ROUND(ROUND(('Loonschijven_Tranches salariale'!$Q23*0.6),4)*$X$1,2)&lt;G$8,G$8,IF('Loonschijven_Tranches salariale'!$Q23&lt;Basisbedragen!$C$23,ROUND(ROUND(('Loonschijven_Tranches salariale'!$Q23*0.6),4)*$X$1,2),ROUND(ROUND((Basisbedragen!$C$23*0.6),4)*$X$1,2)))</f>
        <v>55.29</v>
      </c>
      <c r="H24" s="59">
        <f>IF(ROUND(ROUND(('Loonschijven_Tranches salariale'!$Q23*0.55),4)*$X$1,2)&lt;H$8,H$8,IF('Loonschijven_Tranches salariale'!$Q23&lt;Basisbedragen!$C$27,ROUND(ROUND(('Loonschijven_Tranches salariale'!$Q23*0.55),4)*$X$1,2),ROUND(ROUND((Basisbedragen!$C$27*0.55),4)*$X$1,2)))</f>
        <v>55.29</v>
      </c>
      <c r="I24" s="59">
        <f t="shared" si="5"/>
        <v>55.29</v>
      </c>
      <c r="J24" s="59">
        <f t="shared" si="2"/>
        <v>55.29</v>
      </c>
      <c r="K24" s="59">
        <f t="shared" si="2"/>
        <v>55.29</v>
      </c>
      <c r="L24" s="59">
        <f t="shared" si="2"/>
        <v>55.29</v>
      </c>
      <c r="M24" s="42"/>
      <c r="N24" s="42">
        <f t="shared" si="8"/>
        <v>49.34</v>
      </c>
      <c r="O24" s="59">
        <f t="shared" si="3"/>
        <v>55.29</v>
      </c>
      <c r="P24" s="42"/>
      <c r="Q24" s="59">
        <f>IF(ROUND(ROUND(('Loonschijven_Tranches salariale'!$Q23*0.6),4)*$X$1,2)&lt;Q$8,Q$8,IF('Loonschijven_Tranches salariale'!$Q23&lt;Basisbedragen!$C$23,ROUND(ROUND(('Loonschijven_Tranches salariale'!$Q23*0.6),4)*$X$1,2),ROUND(ROUND((Basisbedragen!$C$23*0.6),4)*$X$1,2)))</f>
        <v>61.35</v>
      </c>
      <c r="R24" s="59">
        <f t="shared" si="6"/>
        <v>60.23</v>
      </c>
      <c r="S24" s="59">
        <f t="shared" si="4"/>
        <v>60.23</v>
      </c>
      <c r="T24" s="59">
        <f t="shared" si="4"/>
        <v>60.23</v>
      </c>
      <c r="U24" s="59">
        <f t="shared" si="4"/>
        <v>60.23</v>
      </c>
      <c r="V24" s="43"/>
      <c r="W24" s="234">
        <f>N24+ROUND(Basisbedragen!$C$57*$X$1,2)</f>
        <v>54.28</v>
      </c>
      <c r="X24" s="59">
        <f>O24+ROUND(Basisbedragen!$C$57*$X$1,2)</f>
        <v>60.23</v>
      </c>
    </row>
    <row r="25" spans="1:24" ht="15.75" hidden="1" customHeight="1" outlineLevel="1" thickBot="1">
      <c r="A25" s="54">
        <f t="shared" si="7"/>
        <v>17</v>
      </c>
      <c r="C25" s="59">
        <f>IF(ROUND(ROUND(('Loonschijven_Tranches salariale'!$Q24*0.65),4)*$X$1,2)&lt;C$8,C$8,ROUND(ROUND(('Loonschijven_Tranches salariale'!$Q24*0.65),4)*$X$1,2))</f>
        <v>55.29</v>
      </c>
      <c r="D25" s="59">
        <f>IF(ROUND(ROUND(('Loonschijven_Tranches salariale'!$Q24*0.6),4)*$X$1,2)&lt;D$8,D$8,ROUND(ROUND(('Loonschijven_Tranches salariale'!$Q24*0.6),4)*$X$1,2))</f>
        <v>55.29</v>
      </c>
      <c r="E25" s="59">
        <f>IF(ROUND(ROUND(('Loonschijven_Tranches salariale'!$Q24*0.6),4)*$X$1,2)&lt;E$8,E$8,IF('Loonschijven_Tranches salariale'!$Q24&lt;Basisbedragen!$C$24,ROUND(ROUND(('Loonschijven_Tranches salariale'!$Q24*0.6),4)*$X$1,2),ROUND(ROUND((Basisbedragen!$C$24*0.6),4)*$X$1,2)))</f>
        <v>55.29</v>
      </c>
      <c r="F25" s="42"/>
      <c r="G25" s="59">
        <f>IF(ROUND(ROUND(('Loonschijven_Tranches salariale'!$Q24*0.6),4)*$X$1,2)&lt;G$8,G$8,IF('Loonschijven_Tranches salariale'!$Q24&lt;Basisbedragen!$C$23,ROUND(ROUND(('Loonschijven_Tranches salariale'!$Q24*0.6),4)*$X$1,2),ROUND(ROUND((Basisbedragen!$C$23*0.6),4)*$X$1,2)))</f>
        <v>55.29</v>
      </c>
      <c r="H25" s="59">
        <f>IF(ROUND(ROUND(('Loonschijven_Tranches salariale'!$Q24*0.55),4)*$X$1,2)&lt;H$8,H$8,IF('Loonschijven_Tranches salariale'!$Q24&lt;Basisbedragen!$C$27,ROUND(ROUND(('Loonschijven_Tranches salariale'!$Q24*0.55),4)*$X$1,2),ROUND(ROUND((Basisbedragen!$C$27*0.55),4)*$X$1,2)))</f>
        <v>55.29</v>
      </c>
      <c r="I25" s="59">
        <f t="shared" si="5"/>
        <v>55.29</v>
      </c>
      <c r="J25" s="59">
        <f t="shared" si="5"/>
        <v>55.29</v>
      </c>
      <c r="K25" s="59">
        <f t="shared" si="5"/>
        <v>55.29</v>
      </c>
      <c r="L25" s="59">
        <f t="shared" si="5"/>
        <v>55.29</v>
      </c>
      <c r="M25" s="42"/>
      <c r="N25" s="42">
        <f t="shared" si="8"/>
        <v>49.34</v>
      </c>
      <c r="O25" s="59">
        <f t="shared" si="3"/>
        <v>55.29</v>
      </c>
      <c r="P25" s="42"/>
      <c r="Q25" s="59">
        <f>IF(ROUND(ROUND(('Loonschijven_Tranches salariale'!$Q24*0.6),4)*$X$1,2)&lt;Q$8,Q$8,IF('Loonschijven_Tranches salariale'!$Q24&lt;Basisbedragen!$C$23,ROUND(ROUND(('Loonschijven_Tranches salariale'!$Q24*0.6),4)*$X$1,2),ROUND(ROUND((Basisbedragen!$C$23*0.6),4)*$X$1,2)))</f>
        <v>61.35</v>
      </c>
      <c r="R25" s="59">
        <f t="shared" si="6"/>
        <v>60.23</v>
      </c>
      <c r="S25" s="59">
        <f t="shared" si="6"/>
        <v>60.23</v>
      </c>
      <c r="T25" s="59">
        <f t="shared" si="6"/>
        <v>60.23</v>
      </c>
      <c r="U25" s="59">
        <f t="shared" si="6"/>
        <v>60.23</v>
      </c>
      <c r="V25" s="43"/>
      <c r="W25" s="234">
        <f>N25+ROUND(Basisbedragen!$C$57*$X$1,2)</f>
        <v>54.28</v>
      </c>
      <c r="X25" s="59">
        <f>O25+ROUND(Basisbedragen!$C$57*$X$1,2)</f>
        <v>60.23</v>
      </c>
    </row>
    <row r="26" spans="1:24" ht="15.75" hidden="1" customHeight="1" outlineLevel="1" thickBot="1">
      <c r="A26" s="54">
        <f t="shared" si="7"/>
        <v>18</v>
      </c>
      <c r="C26" s="59">
        <f>IF(ROUND(ROUND(('Loonschijven_Tranches salariale'!$Q25*0.65),4)*$X$1,2)&lt;C$8,C$8,ROUND(ROUND(('Loonschijven_Tranches salariale'!$Q25*0.65),4)*$X$1,2))</f>
        <v>55.29</v>
      </c>
      <c r="D26" s="59">
        <f>IF(ROUND(ROUND(('Loonschijven_Tranches salariale'!$Q25*0.6),4)*$X$1,2)&lt;D$8,D$8,ROUND(ROUND(('Loonschijven_Tranches salariale'!$Q25*0.6),4)*$X$1,2))</f>
        <v>55.29</v>
      </c>
      <c r="E26" s="59">
        <f>IF(ROUND(ROUND(('Loonschijven_Tranches salariale'!$Q25*0.6),4)*$X$1,2)&lt;E$8,E$8,IF('Loonschijven_Tranches salariale'!$Q25&lt;Basisbedragen!$C$24,ROUND(ROUND(('Loonschijven_Tranches salariale'!$Q25*0.6),4)*$X$1,2),ROUND(ROUND((Basisbedragen!$C$24*0.6),4)*$X$1,2)))</f>
        <v>55.29</v>
      </c>
      <c r="F26" s="42"/>
      <c r="G26" s="59">
        <f>IF(ROUND(ROUND(('Loonschijven_Tranches salariale'!$Q25*0.6),4)*$X$1,2)&lt;G$8,G$8,IF('Loonschijven_Tranches salariale'!$Q25&lt;Basisbedragen!$C$23,ROUND(ROUND(('Loonschijven_Tranches salariale'!$Q25*0.6),4)*$X$1,2),ROUND(ROUND((Basisbedragen!$C$23*0.6),4)*$X$1,2)))</f>
        <v>55.29</v>
      </c>
      <c r="H26" s="59">
        <f>IF(ROUND(ROUND(('Loonschijven_Tranches salariale'!$Q25*0.55),4)*$X$1,2)&lt;H$8,H$8,IF('Loonschijven_Tranches salariale'!$Q25&lt;Basisbedragen!$C$27,ROUND(ROUND(('Loonschijven_Tranches salariale'!$Q25*0.55),4)*$X$1,2),ROUND(ROUND((Basisbedragen!$C$27*0.55),4)*$X$1,2)))</f>
        <v>55.29</v>
      </c>
      <c r="I26" s="59">
        <f t="shared" si="5"/>
        <v>55.29</v>
      </c>
      <c r="J26" s="59">
        <f t="shared" si="5"/>
        <v>55.29</v>
      </c>
      <c r="K26" s="59">
        <f t="shared" si="5"/>
        <v>55.29</v>
      </c>
      <c r="L26" s="59">
        <f t="shared" si="5"/>
        <v>55.29</v>
      </c>
      <c r="M26" s="42"/>
      <c r="N26" s="42">
        <f t="shared" si="8"/>
        <v>49.34</v>
      </c>
      <c r="O26" s="59">
        <f t="shared" si="3"/>
        <v>55.29</v>
      </c>
      <c r="P26" s="42"/>
      <c r="Q26" s="59">
        <f>IF(ROUND(ROUND(('Loonschijven_Tranches salariale'!$Q25*0.6),4)*$X$1,2)&lt;Q$8,Q$8,IF('Loonschijven_Tranches salariale'!$Q25&lt;Basisbedragen!$C$23,ROUND(ROUND(('Loonschijven_Tranches salariale'!$Q25*0.6),4)*$X$1,2),ROUND(ROUND((Basisbedragen!$C$23*0.6),4)*$X$1,2)))</f>
        <v>61.35</v>
      </c>
      <c r="R26" s="59">
        <f t="shared" si="6"/>
        <v>60.23</v>
      </c>
      <c r="S26" s="59">
        <f t="shared" si="6"/>
        <v>60.23</v>
      </c>
      <c r="T26" s="59">
        <f t="shared" si="6"/>
        <v>60.23</v>
      </c>
      <c r="U26" s="59">
        <f t="shared" si="6"/>
        <v>60.23</v>
      </c>
      <c r="V26" s="43"/>
      <c r="W26" s="234">
        <f>N26+ROUND(Basisbedragen!$C$57*$X$1,2)</f>
        <v>54.28</v>
      </c>
      <c r="X26" s="59">
        <f>O26+ROUND(Basisbedragen!$C$57*$X$1,2)</f>
        <v>60.23</v>
      </c>
    </row>
    <row r="27" spans="1:24" ht="15.75" hidden="1" customHeight="1" outlineLevel="1" thickBot="1">
      <c r="A27" s="54">
        <f t="shared" si="7"/>
        <v>19</v>
      </c>
      <c r="C27" s="59">
        <f>IF(ROUND(ROUND(('Loonschijven_Tranches salariale'!$Q26*0.65),4)*$X$1,2)&lt;C$8,C$8,ROUND(ROUND(('Loonschijven_Tranches salariale'!$Q26*0.65),4)*$X$1,2))</f>
        <v>55.29</v>
      </c>
      <c r="D27" s="59">
        <f>IF(ROUND(ROUND(('Loonschijven_Tranches salariale'!$Q26*0.6),4)*$X$1,2)&lt;D$8,D$8,ROUND(ROUND(('Loonschijven_Tranches salariale'!$Q26*0.6),4)*$X$1,2))</f>
        <v>55.29</v>
      </c>
      <c r="E27" s="59">
        <f>IF(ROUND(ROUND(('Loonschijven_Tranches salariale'!$Q26*0.6),4)*$X$1,2)&lt;E$8,E$8,IF('Loonschijven_Tranches salariale'!$Q26&lt;Basisbedragen!$C$24,ROUND(ROUND(('Loonschijven_Tranches salariale'!$Q26*0.6),4)*$X$1,2),ROUND(ROUND((Basisbedragen!$C$24*0.6),4)*$X$1,2)))</f>
        <v>55.29</v>
      </c>
      <c r="F27" s="42"/>
      <c r="G27" s="59">
        <f>IF(ROUND(ROUND(('Loonschijven_Tranches salariale'!$Q26*0.6),4)*$X$1,2)&lt;G$8,G$8,IF('Loonschijven_Tranches salariale'!$Q26&lt;Basisbedragen!$C$23,ROUND(ROUND(('Loonschijven_Tranches salariale'!$Q26*0.6),4)*$X$1,2),ROUND(ROUND((Basisbedragen!$C$23*0.6),4)*$X$1,2)))</f>
        <v>55.29</v>
      </c>
      <c r="H27" s="59">
        <f>IF(ROUND(ROUND(('Loonschijven_Tranches salariale'!$Q26*0.55),4)*$X$1,2)&lt;H$8,H$8,IF('Loonschijven_Tranches salariale'!$Q26&lt;Basisbedragen!$C$27,ROUND(ROUND(('Loonschijven_Tranches salariale'!$Q26*0.55),4)*$X$1,2),ROUND(ROUND((Basisbedragen!$C$27*0.55),4)*$X$1,2)))</f>
        <v>55.29</v>
      </c>
      <c r="I27" s="59">
        <f t="shared" si="5"/>
        <v>55.29</v>
      </c>
      <c r="J27" s="59">
        <f t="shared" si="5"/>
        <v>55.29</v>
      </c>
      <c r="K27" s="59">
        <f t="shared" si="5"/>
        <v>55.29</v>
      </c>
      <c r="L27" s="59">
        <f t="shared" si="5"/>
        <v>55.29</v>
      </c>
      <c r="M27" s="42"/>
      <c r="N27" s="42">
        <f t="shared" si="8"/>
        <v>49.34</v>
      </c>
      <c r="O27" s="59">
        <f t="shared" si="3"/>
        <v>55.29</v>
      </c>
      <c r="P27" s="42"/>
      <c r="Q27" s="59">
        <f>IF(ROUND(ROUND(('Loonschijven_Tranches salariale'!$Q26*0.6),4)*$X$1,2)&lt;Q$8,Q$8,IF('Loonschijven_Tranches salariale'!$Q26&lt;Basisbedragen!$C$23,ROUND(ROUND(('Loonschijven_Tranches salariale'!$Q26*0.6),4)*$X$1,2),ROUND(ROUND((Basisbedragen!$C$23*0.6),4)*$X$1,2)))</f>
        <v>61.35</v>
      </c>
      <c r="R27" s="59">
        <f t="shared" si="6"/>
        <v>60.23</v>
      </c>
      <c r="S27" s="59">
        <f t="shared" si="6"/>
        <v>60.23</v>
      </c>
      <c r="T27" s="59">
        <f t="shared" si="6"/>
        <v>60.23</v>
      </c>
      <c r="U27" s="59">
        <f t="shared" si="6"/>
        <v>60.23</v>
      </c>
      <c r="V27" s="43"/>
      <c r="W27" s="234">
        <f>N27+ROUND(Basisbedragen!$C$57*$X$1,2)</f>
        <v>54.28</v>
      </c>
      <c r="X27" s="59">
        <f>O27+ROUND(Basisbedragen!$C$57*$X$1,2)</f>
        <v>60.23</v>
      </c>
    </row>
    <row r="28" spans="1:24" ht="15.75" hidden="1" customHeight="1" outlineLevel="1" thickBot="1">
      <c r="A28" s="54">
        <f t="shared" si="7"/>
        <v>20</v>
      </c>
      <c r="C28" s="59">
        <f>IF(ROUND(ROUND(('Loonschijven_Tranches salariale'!$Q27*0.65),4)*$X$1,2)&lt;C$8,C$8,ROUND(ROUND(('Loonschijven_Tranches salariale'!$Q27*0.65),4)*$X$1,2))</f>
        <v>55.29</v>
      </c>
      <c r="D28" s="59">
        <f>IF(ROUND(ROUND(('Loonschijven_Tranches salariale'!$Q27*0.6),4)*$X$1,2)&lt;D$8,D$8,ROUND(ROUND(('Loonschijven_Tranches salariale'!$Q27*0.6),4)*$X$1,2))</f>
        <v>55.29</v>
      </c>
      <c r="E28" s="59">
        <f>IF(ROUND(ROUND(('Loonschijven_Tranches salariale'!$Q27*0.6),4)*$X$1,2)&lt;E$8,E$8,IF('Loonschijven_Tranches salariale'!$Q27&lt;Basisbedragen!$C$24,ROUND(ROUND(('Loonschijven_Tranches salariale'!$Q27*0.6),4)*$X$1,2),ROUND(ROUND((Basisbedragen!$C$24*0.6),4)*$X$1,2)))</f>
        <v>55.29</v>
      </c>
      <c r="F28" s="42"/>
      <c r="G28" s="59">
        <f>IF(ROUND(ROUND(('Loonschijven_Tranches salariale'!$Q27*0.6),4)*$X$1,2)&lt;G$8,G$8,IF('Loonschijven_Tranches salariale'!$Q27&lt;Basisbedragen!$C$23,ROUND(ROUND(('Loonschijven_Tranches salariale'!$Q27*0.6),4)*$X$1,2),ROUND(ROUND((Basisbedragen!$C$23*0.6),4)*$X$1,2)))</f>
        <v>55.29</v>
      </c>
      <c r="H28" s="59">
        <f>IF(ROUND(ROUND(('Loonschijven_Tranches salariale'!$Q27*0.55),4)*$X$1,2)&lt;H$8,H$8,IF('Loonschijven_Tranches salariale'!$Q27&lt;Basisbedragen!$C$27,ROUND(ROUND(('Loonschijven_Tranches salariale'!$Q27*0.55),4)*$X$1,2),ROUND(ROUND((Basisbedragen!$C$27*0.55),4)*$X$1,2)))</f>
        <v>55.29</v>
      </c>
      <c r="I28" s="59">
        <f t="shared" si="5"/>
        <v>55.29</v>
      </c>
      <c r="J28" s="59">
        <f t="shared" si="5"/>
        <v>55.29</v>
      </c>
      <c r="K28" s="59">
        <f t="shared" si="5"/>
        <v>55.29</v>
      </c>
      <c r="L28" s="59">
        <f t="shared" si="5"/>
        <v>55.29</v>
      </c>
      <c r="M28" s="42"/>
      <c r="N28" s="42">
        <f t="shared" si="8"/>
        <v>49.34</v>
      </c>
      <c r="O28" s="59">
        <f t="shared" si="3"/>
        <v>55.29</v>
      </c>
      <c r="P28" s="42"/>
      <c r="Q28" s="59">
        <f>IF(ROUND(ROUND(('Loonschijven_Tranches salariale'!$Q27*0.6),4)*$X$1,2)&lt;Q$8,Q$8,IF('Loonschijven_Tranches salariale'!$Q27&lt;Basisbedragen!$C$23,ROUND(ROUND(('Loonschijven_Tranches salariale'!$Q27*0.6),4)*$X$1,2),ROUND(ROUND((Basisbedragen!$C$23*0.6),4)*$X$1,2)))</f>
        <v>61.35</v>
      </c>
      <c r="R28" s="59">
        <f t="shared" si="6"/>
        <v>60.23</v>
      </c>
      <c r="S28" s="59">
        <f t="shared" si="6"/>
        <v>60.23</v>
      </c>
      <c r="T28" s="59">
        <f t="shared" si="6"/>
        <v>60.23</v>
      </c>
      <c r="U28" s="59">
        <f t="shared" si="6"/>
        <v>60.23</v>
      </c>
      <c r="V28" s="43"/>
      <c r="W28" s="234">
        <f>N28+ROUND(Basisbedragen!$C$57*$X$1,2)</f>
        <v>54.28</v>
      </c>
      <c r="X28" s="59">
        <f>O28+ROUND(Basisbedragen!$C$57*$X$1,2)</f>
        <v>60.23</v>
      </c>
    </row>
    <row r="29" spans="1:24" ht="15.75" hidden="1" customHeight="1" outlineLevel="1" thickBot="1">
      <c r="A29" s="54">
        <f t="shared" si="7"/>
        <v>21</v>
      </c>
      <c r="C29" s="59">
        <f>IF(ROUND(ROUND(('Loonschijven_Tranches salariale'!$Q28*0.65),4)*$X$1,2)&lt;C$8,C$8,ROUND(ROUND(('Loonschijven_Tranches salariale'!$Q28*0.65),4)*$X$1,2))</f>
        <v>55.29</v>
      </c>
      <c r="D29" s="59">
        <f>IF(ROUND(ROUND(('Loonschijven_Tranches salariale'!$Q28*0.6),4)*$X$1,2)&lt;D$8,D$8,ROUND(ROUND(('Loonschijven_Tranches salariale'!$Q28*0.6),4)*$X$1,2))</f>
        <v>55.29</v>
      </c>
      <c r="E29" s="59">
        <f>IF(ROUND(ROUND(('Loonschijven_Tranches salariale'!$Q28*0.6),4)*$X$1,2)&lt;E$8,E$8,IF('Loonschijven_Tranches salariale'!$Q28&lt;Basisbedragen!$C$24,ROUND(ROUND(('Loonschijven_Tranches salariale'!$Q28*0.6),4)*$X$1,2),ROUND(ROUND((Basisbedragen!$C$24*0.6),4)*$X$1,2)))</f>
        <v>55.29</v>
      </c>
      <c r="F29" s="42"/>
      <c r="G29" s="59">
        <f>IF(ROUND(ROUND(('Loonschijven_Tranches salariale'!$Q28*0.6),4)*$X$1,2)&lt;G$8,G$8,IF('Loonschijven_Tranches salariale'!$Q28&lt;Basisbedragen!$C$23,ROUND(ROUND(('Loonschijven_Tranches salariale'!$Q28*0.6),4)*$X$1,2),ROUND(ROUND((Basisbedragen!$C$23*0.6),4)*$X$1,2)))</f>
        <v>55.29</v>
      </c>
      <c r="H29" s="59">
        <f>IF(ROUND(ROUND(('Loonschijven_Tranches salariale'!$Q28*0.55),4)*$X$1,2)&lt;H$8,H$8,IF('Loonschijven_Tranches salariale'!$Q28&lt;Basisbedragen!$C$27,ROUND(ROUND(('Loonschijven_Tranches salariale'!$Q28*0.55),4)*$X$1,2),ROUND(ROUND((Basisbedragen!$C$27*0.55),4)*$X$1,2)))</f>
        <v>55.29</v>
      </c>
      <c r="I29" s="59">
        <f t="shared" si="5"/>
        <v>55.29</v>
      </c>
      <c r="J29" s="59">
        <f t="shared" si="5"/>
        <v>55.29</v>
      </c>
      <c r="K29" s="59">
        <f t="shared" si="5"/>
        <v>55.29</v>
      </c>
      <c r="L29" s="59">
        <f t="shared" si="5"/>
        <v>55.29</v>
      </c>
      <c r="M29" s="42"/>
      <c r="N29" s="42">
        <f t="shared" si="8"/>
        <v>49.34</v>
      </c>
      <c r="O29" s="59">
        <f t="shared" si="3"/>
        <v>55.29</v>
      </c>
      <c r="P29" s="42"/>
      <c r="Q29" s="59">
        <f>IF(ROUND(ROUND(('Loonschijven_Tranches salariale'!$Q28*0.6),4)*$X$1,2)&lt;Q$8,Q$8,IF('Loonschijven_Tranches salariale'!$Q28&lt;Basisbedragen!$C$23,ROUND(ROUND(('Loonschijven_Tranches salariale'!$Q28*0.6),4)*$X$1,2),ROUND(ROUND((Basisbedragen!$C$23*0.6),4)*$X$1,2)))</f>
        <v>61.35</v>
      </c>
      <c r="R29" s="59">
        <f t="shared" si="6"/>
        <v>60.23</v>
      </c>
      <c r="S29" s="59">
        <f t="shared" si="6"/>
        <v>60.23</v>
      </c>
      <c r="T29" s="59">
        <f t="shared" si="6"/>
        <v>60.23</v>
      </c>
      <c r="U29" s="59">
        <f t="shared" si="6"/>
        <v>60.23</v>
      </c>
      <c r="V29" s="43"/>
      <c r="W29" s="234">
        <f>N29+ROUND(Basisbedragen!$C$57*$X$1,2)</f>
        <v>54.28</v>
      </c>
      <c r="X29" s="59">
        <f>O29+ROUND(Basisbedragen!$C$57*$X$1,2)</f>
        <v>60.23</v>
      </c>
    </row>
    <row r="30" spans="1:24" ht="15.75" hidden="1" customHeight="1" outlineLevel="1" thickBot="1">
      <c r="A30" s="54">
        <f t="shared" si="7"/>
        <v>22</v>
      </c>
      <c r="C30" s="59">
        <f>IF(ROUND(ROUND(('Loonschijven_Tranches salariale'!$Q29*0.65),4)*$X$1,2)&lt;C$8,C$8,ROUND(ROUND(('Loonschijven_Tranches salariale'!$Q29*0.65),4)*$X$1,2))</f>
        <v>55.29</v>
      </c>
      <c r="D30" s="59">
        <f>IF(ROUND(ROUND(('Loonschijven_Tranches salariale'!$Q29*0.6),4)*$X$1,2)&lt;D$8,D$8,ROUND(ROUND(('Loonschijven_Tranches salariale'!$Q29*0.6),4)*$X$1,2))</f>
        <v>55.29</v>
      </c>
      <c r="E30" s="59">
        <f>IF(ROUND(ROUND(('Loonschijven_Tranches salariale'!$Q29*0.6),4)*$X$1,2)&lt;E$8,E$8,IF('Loonschijven_Tranches salariale'!$Q29&lt;Basisbedragen!$C$24,ROUND(ROUND(('Loonschijven_Tranches salariale'!$Q29*0.6),4)*$X$1,2),ROUND(ROUND((Basisbedragen!$C$24*0.6),4)*$X$1,2)))</f>
        <v>55.29</v>
      </c>
      <c r="F30" s="42"/>
      <c r="G30" s="59">
        <f>IF(ROUND(ROUND(('Loonschijven_Tranches salariale'!$Q29*0.6),4)*$X$1,2)&lt;G$8,G$8,IF('Loonschijven_Tranches salariale'!$Q29&lt;Basisbedragen!$C$23,ROUND(ROUND(('Loonschijven_Tranches salariale'!$Q29*0.6),4)*$X$1,2),ROUND(ROUND((Basisbedragen!$C$23*0.6),4)*$X$1,2)))</f>
        <v>55.29</v>
      </c>
      <c r="H30" s="59">
        <f>IF(ROUND(ROUND(('Loonschijven_Tranches salariale'!$Q29*0.55),4)*$X$1,2)&lt;H$8,H$8,IF('Loonschijven_Tranches salariale'!$Q29&lt;Basisbedragen!$C$27,ROUND(ROUND(('Loonschijven_Tranches salariale'!$Q29*0.55),4)*$X$1,2),ROUND(ROUND((Basisbedragen!$C$27*0.55),4)*$X$1,2)))</f>
        <v>55.29</v>
      </c>
      <c r="I30" s="59">
        <f t="shared" si="5"/>
        <v>55.29</v>
      </c>
      <c r="J30" s="59">
        <f t="shared" si="5"/>
        <v>55.29</v>
      </c>
      <c r="K30" s="59">
        <f t="shared" si="5"/>
        <v>55.29</v>
      </c>
      <c r="L30" s="59">
        <f t="shared" si="5"/>
        <v>55.29</v>
      </c>
      <c r="M30" s="42"/>
      <c r="N30" s="42">
        <f t="shared" si="8"/>
        <v>49.34</v>
      </c>
      <c r="O30" s="59">
        <f t="shared" si="3"/>
        <v>55.29</v>
      </c>
      <c r="P30" s="42"/>
      <c r="Q30" s="59">
        <f>IF(ROUND(ROUND(('Loonschijven_Tranches salariale'!$Q29*0.6),4)*$X$1,2)&lt;Q$8,Q$8,IF('Loonschijven_Tranches salariale'!$Q29&lt;Basisbedragen!$C$23,ROUND(ROUND(('Loonschijven_Tranches salariale'!$Q29*0.6),4)*$X$1,2),ROUND(ROUND((Basisbedragen!$C$23*0.6),4)*$X$1,2)))</f>
        <v>61.35</v>
      </c>
      <c r="R30" s="59">
        <f t="shared" si="6"/>
        <v>60.23</v>
      </c>
      <c r="S30" s="59">
        <f t="shared" si="6"/>
        <v>60.23</v>
      </c>
      <c r="T30" s="59">
        <f t="shared" si="6"/>
        <v>60.23</v>
      </c>
      <c r="U30" s="59">
        <f t="shared" si="6"/>
        <v>60.23</v>
      </c>
      <c r="V30" s="43"/>
      <c r="W30" s="234">
        <f>N30+ROUND(Basisbedragen!$C$57*$X$1,2)</f>
        <v>54.28</v>
      </c>
      <c r="X30" s="59">
        <f>O30+ROUND(Basisbedragen!$C$57*$X$1,2)</f>
        <v>60.23</v>
      </c>
    </row>
    <row r="31" spans="1:24" ht="15.75" hidden="1" customHeight="1" outlineLevel="1" thickBot="1">
      <c r="A31" s="54">
        <f t="shared" si="7"/>
        <v>23</v>
      </c>
      <c r="C31" s="59">
        <f>IF(ROUND(ROUND(('Loonschijven_Tranches salariale'!$Q30*0.65),4)*$X$1,2)&lt;C$8,C$8,ROUND(ROUND(('Loonschijven_Tranches salariale'!$Q30*0.65),4)*$X$1,2))</f>
        <v>55.29</v>
      </c>
      <c r="D31" s="59">
        <f>IF(ROUND(ROUND(('Loonschijven_Tranches salariale'!$Q30*0.6),4)*$X$1,2)&lt;D$8,D$8,ROUND(ROUND(('Loonschijven_Tranches salariale'!$Q30*0.6),4)*$X$1,2))</f>
        <v>55.29</v>
      </c>
      <c r="E31" s="59">
        <f>IF(ROUND(ROUND(('Loonschijven_Tranches salariale'!$Q30*0.6),4)*$X$1,2)&lt;E$8,E$8,IF('Loonschijven_Tranches salariale'!$Q30&lt;Basisbedragen!$C$24,ROUND(ROUND(('Loonschijven_Tranches salariale'!$Q30*0.6),4)*$X$1,2),ROUND(ROUND((Basisbedragen!$C$24*0.6),4)*$X$1,2)))</f>
        <v>55.29</v>
      </c>
      <c r="F31" s="42"/>
      <c r="G31" s="59">
        <f>IF(ROUND(ROUND(('Loonschijven_Tranches salariale'!$Q30*0.6),4)*$X$1,2)&lt;G$8,G$8,IF('Loonschijven_Tranches salariale'!$Q30&lt;Basisbedragen!$C$23,ROUND(ROUND(('Loonschijven_Tranches salariale'!$Q30*0.6),4)*$X$1,2),ROUND(ROUND((Basisbedragen!$C$23*0.6),4)*$X$1,2)))</f>
        <v>55.29</v>
      </c>
      <c r="H31" s="59">
        <f>IF(ROUND(ROUND(('Loonschijven_Tranches salariale'!$Q30*0.55),4)*$X$1,2)&lt;H$8,H$8,IF('Loonschijven_Tranches salariale'!$Q30&lt;Basisbedragen!$C$27,ROUND(ROUND(('Loonschijven_Tranches salariale'!$Q30*0.55),4)*$X$1,2),ROUND(ROUND((Basisbedragen!$C$27*0.55),4)*$X$1,2)))</f>
        <v>55.29</v>
      </c>
      <c r="I31" s="59">
        <f t="shared" si="5"/>
        <v>55.29</v>
      </c>
      <c r="J31" s="59">
        <f t="shared" si="5"/>
        <v>55.29</v>
      </c>
      <c r="K31" s="59">
        <f t="shared" si="5"/>
        <v>55.29</v>
      </c>
      <c r="L31" s="59">
        <f t="shared" si="5"/>
        <v>55.29</v>
      </c>
      <c r="M31" s="42"/>
      <c r="N31" s="42">
        <f t="shared" si="8"/>
        <v>49.34</v>
      </c>
      <c r="O31" s="59">
        <f t="shared" si="3"/>
        <v>55.29</v>
      </c>
      <c r="P31" s="42"/>
      <c r="Q31" s="59">
        <f>IF(ROUND(ROUND(('Loonschijven_Tranches salariale'!$Q30*0.6),4)*$X$1,2)&lt;Q$8,Q$8,IF('Loonschijven_Tranches salariale'!$Q30&lt;Basisbedragen!$C$23,ROUND(ROUND(('Loonschijven_Tranches salariale'!$Q30*0.6),4)*$X$1,2),ROUND(ROUND((Basisbedragen!$C$23*0.6),4)*$X$1,2)))</f>
        <v>61.35</v>
      </c>
      <c r="R31" s="59">
        <f t="shared" si="6"/>
        <v>60.23</v>
      </c>
      <c r="S31" s="59">
        <f t="shared" si="6"/>
        <v>60.23</v>
      </c>
      <c r="T31" s="59">
        <f t="shared" si="6"/>
        <v>60.23</v>
      </c>
      <c r="U31" s="59">
        <f t="shared" si="6"/>
        <v>60.23</v>
      </c>
      <c r="V31" s="43"/>
      <c r="W31" s="234">
        <f>N31+ROUND(Basisbedragen!$C$57*$X$1,2)</f>
        <v>54.28</v>
      </c>
      <c r="X31" s="59">
        <f>O31+ROUND(Basisbedragen!$C$57*$X$1,2)</f>
        <v>60.23</v>
      </c>
    </row>
    <row r="32" spans="1:24" ht="15.75" hidden="1" customHeight="1" outlineLevel="1" thickBot="1">
      <c r="A32" s="54">
        <f t="shared" si="7"/>
        <v>24</v>
      </c>
      <c r="C32" s="59">
        <f>IF(ROUND(ROUND(('Loonschijven_Tranches salariale'!$Q31*0.65),4)*$X$1,2)&lt;C$8,C$8,ROUND(ROUND(('Loonschijven_Tranches salariale'!$Q31*0.65),4)*$X$1,2))</f>
        <v>55.29</v>
      </c>
      <c r="D32" s="59">
        <f>IF(ROUND(ROUND(('Loonschijven_Tranches salariale'!$Q31*0.6),4)*$X$1,2)&lt;D$8,D$8,ROUND(ROUND(('Loonschijven_Tranches salariale'!$Q31*0.6),4)*$X$1,2))</f>
        <v>55.29</v>
      </c>
      <c r="E32" s="59">
        <f>IF(ROUND(ROUND(('Loonschijven_Tranches salariale'!$Q31*0.6),4)*$X$1,2)&lt;E$8,E$8,IF('Loonschijven_Tranches salariale'!$Q31&lt;Basisbedragen!$C$24,ROUND(ROUND(('Loonschijven_Tranches salariale'!$Q31*0.6),4)*$X$1,2),ROUND(ROUND((Basisbedragen!$C$24*0.6),4)*$X$1,2)))</f>
        <v>55.29</v>
      </c>
      <c r="F32" s="42"/>
      <c r="G32" s="59">
        <f>IF(ROUND(ROUND(('Loonschijven_Tranches salariale'!$Q31*0.6),4)*$X$1,2)&lt;G$8,G$8,IF('Loonschijven_Tranches salariale'!$Q31&lt;Basisbedragen!$C$23,ROUND(ROUND(('Loonschijven_Tranches salariale'!$Q31*0.6),4)*$X$1,2),ROUND(ROUND((Basisbedragen!$C$23*0.6),4)*$X$1,2)))</f>
        <v>55.29</v>
      </c>
      <c r="H32" s="59">
        <f>IF(ROUND(ROUND(('Loonschijven_Tranches salariale'!$Q31*0.55),4)*$X$1,2)&lt;H$8,H$8,IF('Loonschijven_Tranches salariale'!$Q31&lt;Basisbedragen!$C$27,ROUND(ROUND(('Loonschijven_Tranches salariale'!$Q31*0.55),4)*$X$1,2),ROUND(ROUND((Basisbedragen!$C$27*0.55),4)*$X$1,2)))</f>
        <v>55.29</v>
      </c>
      <c r="I32" s="59">
        <f t="shared" si="5"/>
        <v>55.29</v>
      </c>
      <c r="J32" s="59">
        <f t="shared" si="5"/>
        <v>55.29</v>
      </c>
      <c r="K32" s="59">
        <f t="shared" si="5"/>
        <v>55.29</v>
      </c>
      <c r="L32" s="59">
        <f t="shared" si="5"/>
        <v>55.29</v>
      </c>
      <c r="M32" s="42"/>
      <c r="N32" s="42">
        <f t="shared" si="8"/>
        <v>49.34</v>
      </c>
      <c r="O32" s="59">
        <f t="shared" si="3"/>
        <v>55.29</v>
      </c>
      <c r="P32" s="42"/>
      <c r="Q32" s="59">
        <f>IF(ROUND(ROUND(('Loonschijven_Tranches salariale'!$Q31*0.6),4)*$X$1,2)&lt;Q$8,Q$8,IF('Loonschijven_Tranches salariale'!$Q31&lt;Basisbedragen!$C$23,ROUND(ROUND(('Loonschijven_Tranches salariale'!$Q31*0.6),4)*$X$1,2),ROUND(ROUND((Basisbedragen!$C$23*0.6),4)*$X$1,2)))</f>
        <v>61.35</v>
      </c>
      <c r="R32" s="59">
        <f t="shared" si="6"/>
        <v>60.23</v>
      </c>
      <c r="S32" s="59">
        <f t="shared" si="6"/>
        <v>60.23</v>
      </c>
      <c r="T32" s="59">
        <f t="shared" si="6"/>
        <v>60.23</v>
      </c>
      <c r="U32" s="59">
        <f t="shared" si="6"/>
        <v>60.23</v>
      </c>
      <c r="V32" s="43"/>
      <c r="W32" s="234">
        <f>N32+ROUND(Basisbedragen!$C$57*$X$1,2)</f>
        <v>54.28</v>
      </c>
      <c r="X32" s="59">
        <f>O32+ROUND(Basisbedragen!$C$57*$X$1,2)</f>
        <v>60.23</v>
      </c>
    </row>
    <row r="33" spans="1:24" ht="15.75" hidden="1" customHeight="1" outlineLevel="1" thickBot="1">
      <c r="A33" s="54">
        <f t="shared" si="7"/>
        <v>25</v>
      </c>
      <c r="C33" s="59">
        <f>IF(ROUND(ROUND(('Loonschijven_Tranches salariale'!$Q32*0.65),4)*$X$1,2)&lt;C$8,C$8,ROUND(ROUND(('Loonschijven_Tranches salariale'!$Q32*0.65),4)*$X$1,2))</f>
        <v>55.29</v>
      </c>
      <c r="D33" s="59">
        <f>IF(ROUND(ROUND(('Loonschijven_Tranches salariale'!$Q32*0.6),4)*$X$1,2)&lt;D$8,D$8,ROUND(ROUND(('Loonschijven_Tranches salariale'!$Q32*0.6),4)*$X$1,2))</f>
        <v>55.29</v>
      </c>
      <c r="E33" s="59">
        <f>IF(ROUND(ROUND(('Loonschijven_Tranches salariale'!$Q32*0.6),4)*$X$1,2)&lt;E$8,E$8,IF('Loonschijven_Tranches salariale'!$Q32&lt;Basisbedragen!$C$24,ROUND(ROUND(('Loonschijven_Tranches salariale'!$Q32*0.6),4)*$X$1,2),ROUND(ROUND((Basisbedragen!$C$24*0.6),4)*$X$1,2)))</f>
        <v>55.29</v>
      </c>
      <c r="F33" s="42"/>
      <c r="G33" s="59">
        <f>IF(ROUND(ROUND(('Loonschijven_Tranches salariale'!$Q32*0.6),4)*$X$1,2)&lt;G$8,G$8,IF('Loonschijven_Tranches salariale'!$Q32&lt;Basisbedragen!$C$23,ROUND(ROUND(('Loonschijven_Tranches salariale'!$Q32*0.6),4)*$X$1,2),ROUND(ROUND((Basisbedragen!$C$23*0.6),4)*$X$1,2)))</f>
        <v>55.29</v>
      </c>
      <c r="H33" s="59">
        <f>IF(ROUND(ROUND(('Loonschijven_Tranches salariale'!$Q32*0.55),4)*$X$1,2)&lt;H$8,H$8,IF('Loonschijven_Tranches salariale'!$Q32&lt;Basisbedragen!$C$27,ROUND(ROUND(('Loonschijven_Tranches salariale'!$Q32*0.55),4)*$X$1,2),ROUND(ROUND((Basisbedragen!$C$27*0.55),4)*$X$1,2)))</f>
        <v>55.29</v>
      </c>
      <c r="I33" s="59">
        <f t="shared" si="5"/>
        <v>55.29</v>
      </c>
      <c r="J33" s="59">
        <f t="shared" si="5"/>
        <v>55.29</v>
      </c>
      <c r="K33" s="59">
        <f t="shared" si="5"/>
        <v>55.29</v>
      </c>
      <c r="L33" s="59">
        <f t="shared" si="5"/>
        <v>55.29</v>
      </c>
      <c r="M33" s="42"/>
      <c r="N33" s="42">
        <f t="shared" si="8"/>
        <v>49.34</v>
      </c>
      <c r="O33" s="59">
        <f t="shared" si="3"/>
        <v>55.29</v>
      </c>
      <c r="P33" s="42"/>
      <c r="Q33" s="59">
        <f>IF(ROUND(ROUND(('Loonschijven_Tranches salariale'!$Q32*0.6),4)*$X$1,2)&lt;Q$8,Q$8,IF('Loonschijven_Tranches salariale'!$Q32&lt;Basisbedragen!$C$23,ROUND(ROUND(('Loonschijven_Tranches salariale'!$Q32*0.6),4)*$X$1,2),ROUND(ROUND((Basisbedragen!$C$23*0.6),4)*$X$1,2)))</f>
        <v>61.35</v>
      </c>
      <c r="R33" s="59">
        <f t="shared" si="6"/>
        <v>60.23</v>
      </c>
      <c r="S33" s="59">
        <f t="shared" si="6"/>
        <v>60.23</v>
      </c>
      <c r="T33" s="59">
        <f t="shared" si="6"/>
        <v>60.23</v>
      </c>
      <c r="U33" s="59">
        <f t="shared" si="6"/>
        <v>60.23</v>
      </c>
      <c r="V33" s="43"/>
      <c r="W33" s="234">
        <f>N33+ROUND(Basisbedragen!$C$57*$X$1,2)</f>
        <v>54.28</v>
      </c>
      <c r="X33" s="59">
        <f>O33+ROUND(Basisbedragen!$C$57*$X$1,2)</f>
        <v>60.23</v>
      </c>
    </row>
    <row r="34" spans="1:24" ht="15.75" hidden="1" customHeight="1" outlineLevel="1" thickBot="1">
      <c r="A34" s="54">
        <f t="shared" si="7"/>
        <v>26</v>
      </c>
      <c r="C34" s="59">
        <f>IF(ROUND(ROUND(('Loonschijven_Tranches salariale'!$Q33*0.65),4)*$X$1,2)&lt;C$8,C$8,ROUND(ROUND(('Loonschijven_Tranches salariale'!$Q33*0.65),4)*$X$1,2))</f>
        <v>55.29</v>
      </c>
      <c r="D34" s="59">
        <f>IF(ROUND(ROUND(('Loonschijven_Tranches salariale'!$Q33*0.6),4)*$X$1,2)&lt;D$8,D$8,ROUND(ROUND(('Loonschijven_Tranches salariale'!$Q33*0.6),4)*$X$1,2))</f>
        <v>55.29</v>
      </c>
      <c r="E34" s="59">
        <f>IF(ROUND(ROUND(('Loonschijven_Tranches salariale'!$Q33*0.6),4)*$X$1,2)&lt;E$8,E$8,IF('Loonschijven_Tranches salariale'!$Q33&lt;Basisbedragen!$C$24,ROUND(ROUND(('Loonschijven_Tranches salariale'!$Q33*0.6),4)*$X$1,2),ROUND(ROUND((Basisbedragen!$C$24*0.6),4)*$X$1,2)))</f>
        <v>55.29</v>
      </c>
      <c r="F34" s="42"/>
      <c r="G34" s="59">
        <f>IF(ROUND(ROUND(('Loonschijven_Tranches salariale'!$Q33*0.6),4)*$X$1,2)&lt;G$8,G$8,IF('Loonschijven_Tranches salariale'!$Q33&lt;Basisbedragen!$C$23,ROUND(ROUND(('Loonschijven_Tranches salariale'!$Q33*0.6),4)*$X$1,2),ROUND(ROUND((Basisbedragen!$C$23*0.6),4)*$X$1,2)))</f>
        <v>55.29</v>
      </c>
      <c r="H34" s="59">
        <f>IF(ROUND(ROUND(('Loonschijven_Tranches salariale'!$Q33*0.55),4)*$X$1,2)&lt;H$8,H$8,IF('Loonschijven_Tranches salariale'!$Q33&lt;Basisbedragen!$C$27,ROUND(ROUND(('Loonschijven_Tranches salariale'!$Q33*0.55),4)*$X$1,2),ROUND(ROUND((Basisbedragen!$C$27*0.55),4)*$X$1,2)))</f>
        <v>55.29</v>
      </c>
      <c r="I34" s="59">
        <f t="shared" si="5"/>
        <v>55.29</v>
      </c>
      <c r="J34" s="59">
        <f t="shared" si="5"/>
        <v>55.29</v>
      </c>
      <c r="K34" s="59">
        <f t="shared" si="5"/>
        <v>55.29</v>
      </c>
      <c r="L34" s="59">
        <f t="shared" si="5"/>
        <v>55.29</v>
      </c>
      <c r="M34" s="42"/>
      <c r="N34" s="42">
        <f t="shared" si="8"/>
        <v>49.34</v>
      </c>
      <c r="O34" s="59">
        <f t="shared" si="3"/>
        <v>55.29</v>
      </c>
      <c r="P34" s="42"/>
      <c r="Q34" s="59">
        <f>IF(ROUND(ROUND(('Loonschijven_Tranches salariale'!$Q33*0.6),4)*$X$1,2)&lt;Q$8,Q$8,IF('Loonschijven_Tranches salariale'!$Q33&lt;Basisbedragen!$C$23,ROUND(ROUND(('Loonschijven_Tranches salariale'!$Q33*0.6),4)*$X$1,2),ROUND(ROUND((Basisbedragen!$C$23*0.6),4)*$X$1,2)))</f>
        <v>61.35</v>
      </c>
      <c r="R34" s="59">
        <f t="shared" si="6"/>
        <v>60.23</v>
      </c>
      <c r="S34" s="59">
        <f t="shared" si="6"/>
        <v>60.23</v>
      </c>
      <c r="T34" s="59">
        <f t="shared" si="6"/>
        <v>60.23</v>
      </c>
      <c r="U34" s="59">
        <f t="shared" si="6"/>
        <v>60.23</v>
      </c>
      <c r="V34" s="43"/>
      <c r="W34" s="234">
        <f>N34+ROUND(Basisbedragen!$C$57*$X$1,2)</f>
        <v>54.28</v>
      </c>
      <c r="X34" s="59">
        <f>O34+ROUND(Basisbedragen!$C$57*$X$1,2)</f>
        <v>60.23</v>
      </c>
    </row>
    <row r="35" spans="1:24" ht="15.75" hidden="1" customHeight="1" outlineLevel="1" thickBot="1">
      <c r="A35" s="54">
        <f t="shared" si="7"/>
        <v>27</v>
      </c>
      <c r="C35" s="59">
        <f>IF(ROUND(ROUND(('Loonschijven_Tranches salariale'!$Q34*0.65),4)*$X$1,2)&lt;C$8,C$8,ROUND(ROUND(('Loonschijven_Tranches salariale'!$Q34*0.65),4)*$X$1,2))</f>
        <v>55.29</v>
      </c>
      <c r="D35" s="59">
        <f>IF(ROUND(ROUND(('Loonschijven_Tranches salariale'!$Q34*0.6),4)*$X$1,2)&lt;D$8,D$8,ROUND(ROUND(('Loonschijven_Tranches salariale'!$Q34*0.6),4)*$X$1,2))</f>
        <v>55.29</v>
      </c>
      <c r="E35" s="59">
        <f>IF(ROUND(ROUND(('Loonschijven_Tranches salariale'!$Q34*0.6),4)*$X$1,2)&lt;E$8,E$8,IF('Loonschijven_Tranches salariale'!$Q34&lt;Basisbedragen!$C$24,ROUND(ROUND(('Loonschijven_Tranches salariale'!$Q34*0.6),4)*$X$1,2),ROUND(ROUND((Basisbedragen!$C$24*0.6),4)*$X$1,2)))</f>
        <v>55.29</v>
      </c>
      <c r="F35" s="42"/>
      <c r="G35" s="59">
        <f>IF(ROUND(ROUND(('Loonschijven_Tranches salariale'!$Q34*0.6),4)*$X$1,2)&lt;G$8,G$8,IF('Loonschijven_Tranches salariale'!$Q34&lt;Basisbedragen!$C$23,ROUND(ROUND(('Loonschijven_Tranches salariale'!$Q34*0.6),4)*$X$1,2),ROUND(ROUND((Basisbedragen!$C$23*0.6),4)*$X$1,2)))</f>
        <v>55.29</v>
      </c>
      <c r="H35" s="59">
        <f>IF(ROUND(ROUND(('Loonschijven_Tranches salariale'!$Q34*0.55),4)*$X$1,2)&lt;H$8,H$8,IF('Loonschijven_Tranches salariale'!$Q34&lt;Basisbedragen!$C$27,ROUND(ROUND(('Loonschijven_Tranches salariale'!$Q34*0.55),4)*$X$1,2),ROUND(ROUND((Basisbedragen!$C$27*0.55),4)*$X$1,2)))</f>
        <v>55.29</v>
      </c>
      <c r="I35" s="59">
        <f t="shared" si="5"/>
        <v>55.29</v>
      </c>
      <c r="J35" s="59">
        <f t="shared" si="5"/>
        <v>55.29</v>
      </c>
      <c r="K35" s="59">
        <f t="shared" si="5"/>
        <v>55.29</v>
      </c>
      <c r="L35" s="59">
        <f t="shared" si="5"/>
        <v>55.29</v>
      </c>
      <c r="M35" s="42"/>
      <c r="N35" s="42">
        <f t="shared" si="8"/>
        <v>49.34</v>
      </c>
      <c r="O35" s="59">
        <f t="shared" si="3"/>
        <v>55.29</v>
      </c>
      <c r="P35" s="42"/>
      <c r="Q35" s="59">
        <f>IF(ROUND(ROUND(('Loonschijven_Tranches salariale'!$Q34*0.6),4)*$X$1,2)&lt;Q$8,Q$8,IF('Loonschijven_Tranches salariale'!$Q34&lt;Basisbedragen!$C$23,ROUND(ROUND(('Loonschijven_Tranches salariale'!$Q34*0.6),4)*$X$1,2),ROUND(ROUND((Basisbedragen!$C$23*0.6),4)*$X$1,2)))</f>
        <v>61.35</v>
      </c>
      <c r="R35" s="59">
        <f t="shared" si="6"/>
        <v>60.23</v>
      </c>
      <c r="S35" s="59">
        <f t="shared" si="6"/>
        <v>60.23</v>
      </c>
      <c r="T35" s="59">
        <f t="shared" si="6"/>
        <v>60.23</v>
      </c>
      <c r="U35" s="59">
        <f t="shared" si="6"/>
        <v>60.23</v>
      </c>
      <c r="V35" s="43"/>
      <c r="W35" s="234">
        <f>N35+ROUND(Basisbedragen!$C$57*$X$1,2)</f>
        <v>54.28</v>
      </c>
      <c r="X35" s="59">
        <f>O35+ROUND(Basisbedragen!$C$57*$X$1,2)</f>
        <v>60.23</v>
      </c>
    </row>
    <row r="36" spans="1:24" ht="15.75" hidden="1" customHeight="1" outlineLevel="1" thickBot="1">
      <c r="A36" s="54">
        <f t="shared" si="7"/>
        <v>28</v>
      </c>
      <c r="C36" s="59">
        <f>IF(ROUND(ROUND(('Loonschijven_Tranches salariale'!$Q35*0.65),4)*$X$1,2)&lt;C$8,C$8,ROUND(ROUND(('Loonschijven_Tranches salariale'!$Q35*0.65),4)*$X$1,2))</f>
        <v>55.29</v>
      </c>
      <c r="D36" s="59">
        <f>IF(ROUND(ROUND(('Loonschijven_Tranches salariale'!$Q35*0.6),4)*$X$1,2)&lt;D$8,D$8,ROUND(ROUND(('Loonschijven_Tranches salariale'!$Q35*0.6),4)*$X$1,2))</f>
        <v>55.29</v>
      </c>
      <c r="E36" s="59">
        <f>IF(ROUND(ROUND(('Loonschijven_Tranches salariale'!$Q35*0.6),4)*$X$1,2)&lt;E$8,E$8,IF('Loonschijven_Tranches salariale'!$Q35&lt;Basisbedragen!$C$24,ROUND(ROUND(('Loonschijven_Tranches salariale'!$Q35*0.6),4)*$X$1,2),ROUND(ROUND((Basisbedragen!$C$24*0.6),4)*$X$1,2)))</f>
        <v>55.29</v>
      </c>
      <c r="F36" s="42"/>
      <c r="G36" s="59">
        <f>IF(ROUND(ROUND(('Loonschijven_Tranches salariale'!$Q35*0.6),4)*$X$1,2)&lt;G$8,G$8,IF('Loonschijven_Tranches salariale'!$Q35&lt;Basisbedragen!$C$23,ROUND(ROUND(('Loonschijven_Tranches salariale'!$Q35*0.6),4)*$X$1,2),ROUND(ROUND((Basisbedragen!$C$23*0.6),4)*$X$1,2)))</f>
        <v>55.29</v>
      </c>
      <c r="H36" s="59">
        <f>IF(ROUND(ROUND(('Loonschijven_Tranches salariale'!$Q35*0.55),4)*$X$1,2)&lt;H$8,H$8,IF('Loonschijven_Tranches salariale'!$Q35&lt;Basisbedragen!$C$27,ROUND(ROUND(('Loonschijven_Tranches salariale'!$Q35*0.55),4)*$X$1,2),ROUND(ROUND((Basisbedragen!$C$27*0.55),4)*$X$1,2)))</f>
        <v>55.29</v>
      </c>
      <c r="I36" s="59">
        <f t="shared" si="5"/>
        <v>55.29</v>
      </c>
      <c r="J36" s="59">
        <f t="shared" si="5"/>
        <v>55.29</v>
      </c>
      <c r="K36" s="59">
        <f t="shared" si="5"/>
        <v>55.29</v>
      </c>
      <c r="L36" s="59">
        <f t="shared" si="5"/>
        <v>55.29</v>
      </c>
      <c r="M36" s="42"/>
      <c r="N36" s="42">
        <f t="shared" si="8"/>
        <v>49.34</v>
      </c>
      <c r="O36" s="59">
        <f t="shared" si="3"/>
        <v>55.29</v>
      </c>
      <c r="P36" s="42"/>
      <c r="Q36" s="59">
        <f>IF(ROUND(ROUND(('Loonschijven_Tranches salariale'!$Q35*0.6),4)*$X$1,2)&lt;Q$8,Q$8,IF('Loonschijven_Tranches salariale'!$Q35&lt;Basisbedragen!$C$23,ROUND(ROUND(('Loonschijven_Tranches salariale'!$Q35*0.6),4)*$X$1,2),ROUND(ROUND((Basisbedragen!$C$23*0.6),4)*$X$1,2)))</f>
        <v>61.35</v>
      </c>
      <c r="R36" s="59">
        <f t="shared" si="6"/>
        <v>60.23</v>
      </c>
      <c r="S36" s="59">
        <f t="shared" si="6"/>
        <v>60.23</v>
      </c>
      <c r="T36" s="59">
        <f t="shared" si="6"/>
        <v>60.23</v>
      </c>
      <c r="U36" s="59">
        <f t="shared" si="6"/>
        <v>60.23</v>
      </c>
      <c r="V36" s="43"/>
      <c r="W36" s="234">
        <f>N36+ROUND(Basisbedragen!$C$57*$X$1,2)</f>
        <v>54.28</v>
      </c>
      <c r="X36" s="59">
        <f>O36+ROUND(Basisbedragen!$C$57*$X$1,2)</f>
        <v>60.23</v>
      </c>
    </row>
    <row r="37" spans="1:24" ht="15.75" hidden="1" customHeight="1" outlineLevel="1" thickBot="1">
      <c r="A37" s="54">
        <f t="shared" si="7"/>
        <v>29</v>
      </c>
      <c r="C37" s="59">
        <f>IF(ROUND(ROUND(('Loonschijven_Tranches salariale'!$Q36*0.65),4)*$X$1,2)&lt;C$8,C$8,ROUND(ROUND(('Loonschijven_Tranches salariale'!$Q36*0.65),4)*$X$1,2))</f>
        <v>55.29</v>
      </c>
      <c r="D37" s="59">
        <f>IF(ROUND(ROUND(('Loonschijven_Tranches salariale'!$Q36*0.6),4)*$X$1,2)&lt;D$8,D$8,ROUND(ROUND(('Loonschijven_Tranches salariale'!$Q36*0.6),4)*$X$1,2))</f>
        <v>55.29</v>
      </c>
      <c r="E37" s="59">
        <f>IF(ROUND(ROUND(('Loonschijven_Tranches salariale'!$Q36*0.6),4)*$X$1,2)&lt;E$8,E$8,IF('Loonschijven_Tranches salariale'!$Q36&lt;Basisbedragen!$C$24,ROUND(ROUND(('Loonschijven_Tranches salariale'!$Q36*0.6),4)*$X$1,2),ROUND(ROUND((Basisbedragen!$C$24*0.6),4)*$X$1,2)))</f>
        <v>55.29</v>
      </c>
      <c r="F37" s="42"/>
      <c r="G37" s="59">
        <f>IF(ROUND(ROUND(('Loonschijven_Tranches salariale'!$Q36*0.6),4)*$X$1,2)&lt;G$8,G$8,IF('Loonschijven_Tranches salariale'!$Q36&lt;Basisbedragen!$C$23,ROUND(ROUND(('Loonschijven_Tranches salariale'!$Q36*0.6),4)*$X$1,2),ROUND(ROUND((Basisbedragen!$C$23*0.6),4)*$X$1,2)))</f>
        <v>55.29</v>
      </c>
      <c r="H37" s="59">
        <f>IF(ROUND(ROUND(('Loonschijven_Tranches salariale'!$Q36*0.55),4)*$X$1,2)&lt;H$8,H$8,IF('Loonschijven_Tranches salariale'!$Q36&lt;Basisbedragen!$C$27,ROUND(ROUND(('Loonschijven_Tranches salariale'!$Q36*0.55),4)*$X$1,2),ROUND(ROUND((Basisbedragen!$C$27*0.55),4)*$X$1,2)))</f>
        <v>55.29</v>
      </c>
      <c r="I37" s="59">
        <f t="shared" si="5"/>
        <v>55.29</v>
      </c>
      <c r="J37" s="59">
        <f t="shared" si="5"/>
        <v>55.29</v>
      </c>
      <c r="K37" s="59">
        <f t="shared" si="5"/>
        <v>55.29</v>
      </c>
      <c r="L37" s="59">
        <f t="shared" si="5"/>
        <v>55.29</v>
      </c>
      <c r="M37" s="42"/>
      <c r="N37" s="42">
        <f t="shared" si="8"/>
        <v>49.34</v>
      </c>
      <c r="O37" s="59">
        <f t="shared" si="3"/>
        <v>55.29</v>
      </c>
      <c r="P37" s="42"/>
      <c r="Q37" s="59">
        <f>IF(ROUND(ROUND(('Loonschijven_Tranches salariale'!$Q36*0.6),4)*$X$1,2)&lt;Q$8,Q$8,IF('Loonschijven_Tranches salariale'!$Q36&lt;Basisbedragen!$C$23,ROUND(ROUND(('Loonschijven_Tranches salariale'!$Q36*0.6),4)*$X$1,2),ROUND(ROUND((Basisbedragen!$C$23*0.6),4)*$X$1,2)))</f>
        <v>61.35</v>
      </c>
      <c r="R37" s="59">
        <f t="shared" si="6"/>
        <v>60.23</v>
      </c>
      <c r="S37" s="59">
        <f t="shared" si="6"/>
        <v>60.23</v>
      </c>
      <c r="T37" s="59">
        <f t="shared" si="6"/>
        <v>60.23</v>
      </c>
      <c r="U37" s="59">
        <f t="shared" si="6"/>
        <v>60.23</v>
      </c>
      <c r="V37" s="43"/>
      <c r="W37" s="234">
        <f>N37+ROUND(Basisbedragen!$C$57*$X$1,2)</f>
        <v>54.28</v>
      </c>
      <c r="X37" s="59">
        <f>O37+ROUND(Basisbedragen!$C$57*$X$1,2)</f>
        <v>60.23</v>
      </c>
    </row>
    <row r="38" spans="1:24" ht="15.75" hidden="1" customHeight="1" outlineLevel="1" thickBot="1">
      <c r="A38" s="54">
        <f t="shared" si="7"/>
        <v>30</v>
      </c>
      <c r="C38" s="59">
        <f>IF(ROUND(ROUND(('Loonschijven_Tranches salariale'!$Q37*0.65),4)*$X$1,2)&lt;C$8,C$8,ROUND(ROUND(('Loonschijven_Tranches salariale'!$Q37*0.65),4)*$X$1,2))</f>
        <v>55.29</v>
      </c>
      <c r="D38" s="59">
        <f>IF(ROUND(ROUND(('Loonschijven_Tranches salariale'!$Q37*0.6),4)*$X$1,2)&lt;D$8,D$8,ROUND(ROUND(('Loonschijven_Tranches salariale'!$Q37*0.6),4)*$X$1,2))</f>
        <v>55.29</v>
      </c>
      <c r="E38" s="59">
        <f>IF(ROUND(ROUND(('Loonschijven_Tranches salariale'!$Q37*0.6),4)*$X$1,2)&lt;E$8,E$8,IF('Loonschijven_Tranches salariale'!$Q37&lt;Basisbedragen!$C$24,ROUND(ROUND(('Loonschijven_Tranches salariale'!$Q37*0.6),4)*$X$1,2),ROUND(ROUND((Basisbedragen!$C$24*0.6),4)*$X$1,2)))</f>
        <v>55.29</v>
      </c>
      <c r="F38" s="42"/>
      <c r="G38" s="59">
        <f>IF(ROUND(ROUND(('Loonschijven_Tranches salariale'!$Q37*0.6),4)*$X$1,2)&lt;G$8,G$8,IF('Loonschijven_Tranches salariale'!$Q37&lt;Basisbedragen!$C$23,ROUND(ROUND(('Loonschijven_Tranches salariale'!$Q37*0.6),4)*$X$1,2),ROUND(ROUND((Basisbedragen!$C$23*0.6),4)*$X$1,2)))</f>
        <v>55.29</v>
      </c>
      <c r="H38" s="59">
        <f>IF(ROUND(ROUND(('Loonschijven_Tranches salariale'!$Q37*0.55),4)*$X$1,2)&lt;H$8,H$8,IF('Loonschijven_Tranches salariale'!$Q37&lt;Basisbedragen!$C$27,ROUND(ROUND(('Loonschijven_Tranches salariale'!$Q37*0.55),4)*$X$1,2),ROUND(ROUND((Basisbedragen!$C$27*0.55),4)*$X$1,2)))</f>
        <v>55.29</v>
      </c>
      <c r="I38" s="59">
        <f t="shared" si="5"/>
        <v>55.29</v>
      </c>
      <c r="J38" s="59">
        <f t="shared" si="5"/>
        <v>55.29</v>
      </c>
      <c r="K38" s="59">
        <f t="shared" si="5"/>
        <v>55.29</v>
      </c>
      <c r="L38" s="59">
        <f t="shared" si="5"/>
        <v>55.29</v>
      </c>
      <c r="M38" s="42"/>
      <c r="N38" s="42">
        <f t="shared" si="8"/>
        <v>49.34</v>
      </c>
      <c r="O38" s="59">
        <f t="shared" si="3"/>
        <v>55.29</v>
      </c>
      <c r="P38" s="42"/>
      <c r="Q38" s="59">
        <f>IF(ROUND(ROUND(('Loonschijven_Tranches salariale'!$Q37*0.6),4)*$X$1,2)&lt;Q$8,Q$8,IF('Loonschijven_Tranches salariale'!$Q37&lt;Basisbedragen!$C$23,ROUND(ROUND(('Loonschijven_Tranches salariale'!$Q37*0.6),4)*$X$1,2),ROUND(ROUND((Basisbedragen!$C$23*0.6),4)*$X$1,2)))</f>
        <v>61.35</v>
      </c>
      <c r="R38" s="59">
        <f t="shared" si="6"/>
        <v>60.23</v>
      </c>
      <c r="S38" s="59">
        <f t="shared" si="6"/>
        <v>60.23</v>
      </c>
      <c r="T38" s="59">
        <f t="shared" si="6"/>
        <v>60.23</v>
      </c>
      <c r="U38" s="59">
        <f t="shared" si="6"/>
        <v>60.23</v>
      </c>
      <c r="V38" s="43"/>
      <c r="W38" s="234">
        <f>N38+ROUND(Basisbedragen!$C$57*$X$1,2)</f>
        <v>54.28</v>
      </c>
      <c r="X38" s="59">
        <f>O38+ROUND(Basisbedragen!$C$57*$X$1,2)</f>
        <v>60.23</v>
      </c>
    </row>
    <row r="39" spans="1:24" ht="15.75" hidden="1" customHeight="1" outlineLevel="1" thickBot="1">
      <c r="A39" s="54">
        <f t="shared" si="7"/>
        <v>31</v>
      </c>
      <c r="C39" s="59">
        <f>IF(ROUND(ROUND(('Loonschijven_Tranches salariale'!$Q38*0.65),4)*$X$1,2)&lt;C$8,C$8,ROUND(ROUND(('Loonschijven_Tranches salariale'!$Q38*0.65),4)*$X$1,2))</f>
        <v>55.29</v>
      </c>
      <c r="D39" s="59">
        <f>IF(ROUND(ROUND(('Loonschijven_Tranches salariale'!$Q38*0.6),4)*$X$1,2)&lt;D$8,D$8,ROUND(ROUND(('Loonschijven_Tranches salariale'!$Q38*0.6),4)*$X$1,2))</f>
        <v>55.29</v>
      </c>
      <c r="E39" s="59">
        <f>IF(ROUND(ROUND(('Loonschijven_Tranches salariale'!$Q38*0.6),4)*$X$1,2)&lt;E$8,E$8,IF('Loonschijven_Tranches salariale'!$Q38&lt;Basisbedragen!$C$24,ROUND(ROUND(('Loonschijven_Tranches salariale'!$Q38*0.6),4)*$X$1,2),ROUND(ROUND((Basisbedragen!$C$24*0.6),4)*$X$1,2)))</f>
        <v>55.29</v>
      </c>
      <c r="F39" s="42"/>
      <c r="G39" s="59">
        <f>IF(ROUND(ROUND(('Loonschijven_Tranches salariale'!$Q38*0.6),4)*$X$1,2)&lt;G$8,G$8,IF('Loonschijven_Tranches salariale'!$Q38&lt;Basisbedragen!$C$23,ROUND(ROUND(('Loonschijven_Tranches salariale'!$Q38*0.6),4)*$X$1,2),ROUND(ROUND((Basisbedragen!$C$23*0.6),4)*$X$1,2)))</f>
        <v>55.29</v>
      </c>
      <c r="H39" s="59">
        <f>IF(ROUND(ROUND(('Loonschijven_Tranches salariale'!$Q38*0.55),4)*$X$1,2)&lt;H$8,H$8,IF('Loonschijven_Tranches salariale'!$Q38&lt;Basisbedragen!$C$27,ROUND(ROUND(('Loonschijven_Tranches salariale'!$Q38*0.55),4)*$X$1,2),ROUND(ROUND((Basisbedragen!$C$27*0.55),4)*$X$1,2)))</f>
        <v>55.29</v>
      </c>
      <c r="I39" s="59">
        <f t="shared" si="5"/>
        <v>55.29</v>
      </c>
      <c r="J39" s="59">
        <f t="shared" si="5"/>
        <v>55.29</v>
      </c>
      <c r="K39" s="59">
        <f t="shared" si="5"/>
        <v>55.29</v>
      </c>
      <c r="L39" s="59">
        <f t="shared" si="5"/>
        <v>55.29</v>
      </c>
      <c r="M39" s="42"/>
      <c r="N39" s="42">
        <f t="shared" si="8"/>
        <v>49.34</v>
      </c>
      <c r="O39" s="59">
        <f t="shared" si="3"/>
        <v>55.29</v>
      </c>
      <c r="P39" s="42"/>
      <c r="Q39" s="59">
        <f>IF(ROUND(ROUND(('Loonschijven_Tranches salariale'!$Q38*0.6),4)*$X$1,2)&lt;Q$8,Q$8,IF('Loonschijven_Tranches salariale'!$Q38&lt;Basisbedragen!$C$23,ROUND(ROUND(('Loonschijven_Tranches salariale'!$Q38*0.6),4)*$X$1,2),ROUND(ROUND((Basisbedragen!$C$23*0.6),4)*$X$1,2)))</f>
        <v>61.35</v>
      </c>
      <c r="R39" s="59">
        <f t="shared" si="6"/>
        <v>60.23</v>
      </c>
      <c r="S39" s="59">
        <f t="shared" si="6"/>
        <v>60.23</v>
      </c>
      <c r="T39" s="59">
        <f t="shared" si="6"/>
        <v>60.23</v>
      </c>
      <c r="U39" s="59">
        <f t="shared" si="6"/>
        <v>60.23</v>
      </c>
      <c r="V39" s="43"/>
      <c r="W39" s="234">
        <f>N39+ROUND(Basisbedragen!$C$57*$X$1,2)</f>
        <v>54.28</v>
      </c>
      <c r="X39" s="59">
        <f>O39+ROUND(Basisbedragen!$C$57*$X$1,2)</f>
        <v>60.23</v>
      </c>
    </row>
    <row r="40" spans="1:24" ht="15.75" hidden="1" customHeight="1" outlineLevel="1" thickBot="1">
      <c r="A40" s="54">
        <f t="shared" si="7"/>
        <v>32</v>
      </c>
      <c r="C40" s="59">
        <f>IF(ROUND(ROUND(('Loonschijven_Tranches salariale'!$Q39*0.65),4)*$X$1,2)&lt;C$8,C$8,ROUND(ROUND(('Loonschijven_Tranches salariale'!$Q39*0.65),4)*$X$1,2))</f>
        <v>55.29</v>
      </c>
      <c r="D40" s="59">
        <f>IF(ROUND(ROUND(('Loonschijven_Tranches salariale'!$Q39*0.6),4)*$X$1,2)&lt;D$8,D$8,ROUND(ROUND(('Loonschijven_Tranches salariale'!$Q39*0.6),4)*$X$1,2))</f>
        <v>55.29</v>
      </c>
      <c r="E40" s="59">
        <f>IF(ROUND(ROUND(('Loonschijven_Tranches salariale'!$Q39*0.6),4)*$X$1,2)&lt;E$8,E$8,IF('Loonschijven_Tranches salariale'!$Q39&lt;Basisbedragen!$C$24,ROUND(ROUND(('Loonschijven_Tranches salariale'!$Q39*0.6),4)*$X$1,2),ROUND(ROUND((Basisbedragen!$C$24*0.6),4)*$X$1,2)))</f>
        <v>55.29</v>
      </c>
      <c r="F40" s="42"/>
      <c r="G40" s="59">
        <f>IF(ROUND(ROUND(('Loonschijven_Tranches salariale'!$Q39*0.6),4)*$X$1,2)&lt;G$8,G$8,IF('Loonschijven_Tranches salariale'!$Q39&lt;Basisbedragen!$C$23,ROUND(ROUND(('Loonschijven_Tranches salariale'!$Q39*0.6),4)*$X$1,2),ROUND(ROUND((Basisbedragen!$C$23*0.6),4)*$X$1,2)))</f>
        <v>55.29</v>
      </c>
      <c r="H40" s="59">
        <f>IF(ROUND(ROUND(('Loonschijven_Tranches salariale'!$Q39*0.55),4)*$X$1,2)&lt;H$8,H$8,IF('Loonschijven_Tranches salariale'!$Q39&lt;Basisbedragen!$C$27,ROUND(ROUND(('Loonschijven_Tranches salariale'!$Q39*0.55),4)*$X$1,2),ROUND(ROUND((Basisbedragen!$C$27*0.55),4)*$X$1,2)))</f>
        <v>55.29</v>
      </c>
      <c r="I40" s="59">
        <f t="shared" si="5"/>
        <v>55.29</v>
      </c>
      <c r="J40" s="59">
        <f t="shared" si="5"/>
        <v>55.29</v>
      </c>
      <c r="K40" s="59">
        <f t="shared" si="5"/>
        <v>55.29</v>
      </c>
      <c r="L40" s="59">
        <f t="shared" si="5"/>
        <v>55.29</v>
      </c>
      <c r="M40" s="42"/>
      <c r="N40" s="42">
        <f t="shared" si="8"/>
        <v>49.34</v>
      </c>
      <c r="O40" s="59">
        <f t="shared" si="3"/>
        <v>55.29</v>
      </c>
      <c r="P40" s="42"/>
      <c r="Q40" s="59">
        <f>IF(ROUND(ROUND(('Loonschijven_Tranches salariale'!$Q39*0.6),4)*$X$1,2)&lt;Q$8,Q$8,IF('Loonschijven_Tranches salariale'!$Q39&lt;Basisbedragen!$C$23,ROUND(ROUND(('Loonschijven_Tranches salariale'!$Q39*0.6),4)*$X$1,2),ROUND(ROUND((Basisbedragen!$C$23*0.6),4)*$X$1,2)))</f>
        <v>61.35</v>
      </c>
      <c r="R40" s="59">
        <f t="shared" si="6"/>
        <v>60.23</v>
      </c>
      <c r="S40" s="59">
        <f t="shared" si="6"/>
        <v>60.23</v>
      </c>
      <c r="T40" s="59">
        <f t="shared" si="6"/>
        <v>60.23</v>
      </c>
      <c r="U40" s="59">
        <f t="shared" si="6"/>
        <v>60.23</v>
      </c>
      <c r="V40" s="43"/>
      <c r="W40" s="234">
        <f>N40+ROUND(Basisbedragen!$C$57*$X$1,2)</f>
        <v>54.28</v>
      </c>
      <c r="X40" s="59">
        <f>O40+ROUND(Basisbedragen!$C$57*$X$1,2)</f>
        <v>60.23</v>
      </c>
    </row>
    <row r="41" spans="1:24" ht="15.75" hidden="1" customHeight="1" outlineLevel="1" thickBot="1">
      <c r="A41" s="54">
        <f t="shared" si="7"/>
        <v>33</v>
      </c>
      <c r="C41" s="59">
        <f>IF(ROUND(ROUND(('Loonschijven_Tranches salariale'!$Q40*0.65),4)*$X$1,2)&lt;C$8,C$8,ROUND(ROUND(('Loonschijven_Tranches salariale'!$Q40*0.65),4)*$X$1,2))</f>
        <v>55.29</v>
      </c>
      <c r="D41" s="59">
        <f>IF(ROUND(ROUND(('Loonschijven_Tranches salariale'!$Q40*0.6),4)*$X$1,2)&lt;D$8,D$8,ROUND(ROUND(('Loonschijven_Tranches salariale'!$Q40*0.6),4)*$X$1,2))</f>
        <v>55.29</v>
      </c>
      <c r="E41" s="59">
        <f>IF(ROUND(ROUND(('Loonschijven_Tranches salariale'!$Q40*0.6),4)*$X$1,2)&lt;E$8,E$8,IF('Loonschijven_Tranches salariale'!$Q40&lt;Basisbedragen!$C$24,ROUND(ROUND(('Loonschijven_Tranches salariale'!$Q40*0.6),4)*$X$1,2),ROUND(ROUND((Basisbedragen!$C$24*0.6),4)*$X$1,2)))</f>
        <v>55.29</v>
      </c>
      <c r="F41" s="42"/>
      <c r="G41" s="59">
        <f>IF(ROUND(ROUND(('Loonschijven_Tranches salariale'!$Q40*0.6),4)*$X$1,2)&lt;G$8,G$8,IF('Loonschijven_Tranches salariale'!$Q40&lt;Basisbedragen!$C$23,ROUND(ROUND(('Loonschijven_Tranches salariale'!$Q40*0.6),4)*$X$1,2),ROUND(ROUND((Basisbedragen!$C$23*0.6),4)*$X$1,2)))</f>
        <v>55.29</v>
      </c>
      <c r="H41" s="59">
        <f>IF(ROUND(ROUND(('Loonschijven_Tranches salariale'!$Q40*0.55),4)*$X$1,2)&lt;H$8,H$8,IF('Loonschijven_Tranches salariale'!$Q40&lt;Basisbedragen!$C$27,ROUND(ROUND(('Loonschijven_Tranches salariale'!$Q40*0.55),4)*$X$1,2),ROUND(ROUND((Basisbedragen!$C$27*0.55),4)*$X$1,2)))</f>
        <v>55.29</v>
      </c>
      <c r="I41" s="59">
        <f t="shared" si="5"/>
        <v>55.29</v>
      </c>
      <c r="J41" s="59">
        <f t="shared" si="5"/>
        <v>55.29</v>
      </c>
      <c r="K41" s="59">
        <f t="shared" si="5"/>
        <v>55.29</v>
      </c>
      <c r="L41" s="59">
        <f t="shared" si="5"/>
        <v>55.29</v>
      </c>
      <c r="M41" s="42"/>
      <c r="N41" s="42">
        <f t="shared" si="8"/>
        <v>49.34</v>
      </c>
      <c r="O41" s="59">
        <f t="shared" ref="O41:O72" si="9">$C$8</f>
        <v>55.29</v>
      </c>
      <c r="P41" s="42"/>
      <c r="Q41" s="59">
        <f>IF(ROUND(ROUND(('Loonschijven_Tranches salariale'!$Q40*0.6),4)*$X$1,2)&lt;Q$8,Q$8,IF('Loonschijven_Tranches salariale'!$Q40&lt;Basisbedragen!$C$23,ROUND(ROUND(('Loonschijven_Tranches salariale'!$Q40*0.6),4)*$X$1,2),ROUND(ROUND((Basisbedragen!$C$23*0.6),4)*$X$1,2)))</f>
        <v>61.35</v>
      </c>
      <c r="R41" s="59">
        <f t="shared" si="6"/>
        <v>60.23</v>
      </c>
      <c r="S41" s="59">
        <f t="shared" si="6"/>
        <v>60.23</v>
      </c>
      <c r="T41" s="59">
        <f t="shared" si="6"/>
        <v>60.23</v>
      </c>
      <c r="U41" s="59">
        <f t="shared" si="6"/>
        <v>60.23</v>
      </c>
      <c r="V41" s="43"/>
      <c r="W41" s="234">
        <f>N41+ROUND(Basisbedragen!$C$57*$X$1,2)</f>
        <v>54.28</v>
      </c>
      <c r="X41" s="59">
        <f>O41+ROUND(Basisbedragen!$C$57*$X$1,2)</f>
        <v>60.23</v>
      </c>
    </row>
    <row r="42" spans="1:24" ht="15.75" hidden="1" customHeight="1" outlineLevel="1" thickBot="1">
      <c r="A42" s="54">
        <f t="shared" si="7"/>
        <v>34</v>
      </c>
      <c r="C42" s="59">
        <f>IF(ROUND(ROUND(('Loonschijven_Tranches salariale'!$Q41*0.65),4)*$X$1,2)&lt;C$8,C$8,ROUND(ROUND(('Loonschijven_Tranches salariale'!$Q41*0.65),4)*$X$1,2))</f>
        <v>55.29</v>
      </c>
      <c r="D42" s="59">
        <f>IF(ROUND(ROUND(('Loonschijven_Tranches salariale'!$Q41*0.6),4)*$X$1,2)&lt;D$8,D$8,ROUND(ROUND(('Loonschijven_Tranches salariale'!$Q41*0.6),4)*$X$1,2))</f>
        <v>55.29</v>
      </c>
      <c r="E42" s="59">
        <f>IF(ROUND(ROUND(('Loonschijven_Tranches salariale'!$Q41*0.6),4)*$X$1,2)&lt;E$8,E$8,IF('Loonschijven_Tranches salariale'!$Q41&lt;Basisbedragen!$C$24,ROUND(ROUND(('Loonschijven_Tranches salariale'!$Q41*0.6),4)*$X$1,2),ROUND(ROUND((Basisbedragen!$C$24*0.6),4)*$X$1,2)))</f>
        <v>55.29</v>
      </c>
      <c r="F42" s="42"/>
      <c r="G42" s="59">
        <f>IF(ROUND(ROUND(('Loonschijven_Tranches salariale'!$Q41*0.6),4)*$X$1,2)&lt;G$8,G$8,IF('Loonschijven_Tranches salariale'!$Q41&lt;Basisbedragen!$C$23,ROUND(ROUND(('Loonschijven_Tranches salariale'!$Q41*0.6),4)*$X$1,2),ROUND(ROUND((Basisbedragen!$C$23*0.6),4)*$X$1,2)))</f>
        <v>55.29</v>
      </c>
      <c r="H42" s="59">
        <f>IF(ROUND(ROUND(('Loonschijven_Tranches salariale'!$Q41*0.55),4)*$X$1,2)&lt;H$8,H$8,IF('Loonschijven_Tranches salariale'!$Q41&lt;Basisbedragen!$C$27,ROUND(ROUND(('Loonschijven_Tranches salariale'!$Q41*0.55),4)*$X$1,2),ROUND(ROUND((Basisbedragen!$C$27*0.55),4)*$X$1,2)))</f>
        <v>55.29</v>
      </c>
      <c r="I42" s="59">
        <f t="shared" ref="I42:L87" si="10">IF(ROUND($H42-(I$6*($H42-$N$9)/5),2)&lt;I$8,I$8,ROUND($H42-(I$6*($H42-$N$9)/5),2))</f>
        <v>55.29</v>
      </c>
      <c r="J42" s="59">
        <f t="shared" si="10"/>
        <v>55.29</v>
      </c>
      <c r="K42" s="59">
        <f t="shared" si="10"/>
        <v>55.29</v>
      </c>
      <c r="L42" s="59">
        <f t="shared" si="10"/>
        <v>55.29</v>
      </c>
      <c r="M42" s="42"/>
      <c r="N42" s="42">
        <f t="shared" si="8"/>
        <v>49.34</v>
      </c>
      <c r="O42" s="59">
        <f t="shared" si="9"/>
        <v>55.29</v>
      </c>
      <c r="P42" s="42"/>
      <c r="Q42" s="59">
        <f>IF(ROUND(ROUND(('Loonschijven_Tranches salariale'!$Q41*0.6),4)*$X$1,2)&lt;Q$8,Q$8,IF('Loonschijven_Tranches salariale'!$Q41&lt;Basisbedragen!$C$23,ROUND(ROUND(('Loonschijven_Tranches salariale'!$Q41*0.6),4)*$X$1,2),ROUND(ROUND((Basisbedragen!$C$23*0.6),4)*$X$1,2)))</f>
        <v>61.35</v>
      </c>
      <c r="R42" s="59">
        <f t="shared" ref="R42:U87" si="11">IF(ROUND($Q42-(R$6*($Q42-$W42)/5),2)&lt;$X42,$X42,ROUND($Q42-(R$6*($Q42-$W42)/5),2))</f>
        <v>60.23</v>
      </c>
      <c r="S42" s="59">
        <f t="shared" si="11"/>
        <v>60.23</v>
      </c>
      <c r="T42" s="59">
        <f t="shared" si="11"/>
        <v>60.23</v>
      </c>
      <c r="U42" s="59">
        <f t="shared" si="11"/>
        <v>60.23</v>
      </c>
      <c r="V42" s="43"/>
      <c r="W42" s="234">
        <f>N42+ROUND(Basisbedragen!$C$57*$X$1,2)</f>
        <v>54.28</v>
      </c>
      <c r="X42" s="59">
        <f>O42+ROUND(Basisbedragen!$C$57*$X$1,2)</f>
        <v>60.23</v>
      </c>
    </row>
    <row r="43" spans="1:24" ht="15.75" hidden="1" customHeight="1" outlineLevel="1" thickBot="1">
      <c r="A43" s="54">
        <f t="shared" si="7"/>
        <v>35</v>
      </c>
      <c r="C43" s="59">
        <f>IF(ROUND(ROUND(('Loonschijven_Tranches salariale'!$Q42*0.65),4)*$X$1,2)&lt;C$8,C$8,ROUND(ROUND(('Loonschijven_Tranches salariale'!$Q42*0.65),4)*$X$1,2))</f>
        <v>55.29</v>
      </c>
      <c r="D43" s="59">
        <f>IF(ROUND(ROUND(('Loonschijven_Tranches salariale'!$Q42*0.6),4)*$X$1,2)&lt;D$8,D$8,ROUND(ROUND(('Loonschijven_Tranches salariale'!$Q42*0.6),4)*$X$1,2))</f>
        <v>55.29</v>
      </c>
      <c r="E43" s="59">
        <f>IF(ROUND(ROUND(('Loonschijven_Tranches salariale'!$Q42*0.6),4)*$X$1,2)&lt;E$8,E$8,IF('Loonschijven_Tranches salariale'!$Q42&lt;Basisbedragen!$C$24,ROUND(ROUND(('Loonschijven_Tranches salariale'!$Q42*0.6),4)*$X$1,2),ROUND(ROUND((Basisbedragen!$C$24*0.6),4)*$X$1,2)))</f>
        <v>55.29</v>
      </c>
      <c r="F43" s="42"/>
      <c r="G43" s="59">
        <f>IF(ROUND(ROUND(('Loonschijven_Tranches salariale'!$Q42*0.6),4)*$X$1,2)&lt;G$8,G$8,IF('Loonschijven_Tranches salariale'!$Q42&lt;Basisbedragen!$C$23,ROUND(ROUND(('Loonschijven_Tranches salariale'!$Q42*0.6),4)*$X$1,2),ROUND(ROUND((Basisbedragen!$C$23*0.6),4)*$X$1,2)))</f>
        <v>55.29</v>
      </c>
      <c r="H43" s="59">
        <f>IF(ROUND(ROUND(('Loonschijven_Tranches salariale'!$Q42*0.55),4)*$X$1,2)&lt;H$8,H$8,IF('Loonschijven_Tranches salariale'!$Q42&lt;Basisbedragen!$C$27,ROUND(ROUND(('Loonschijven_Tranches salariale'!$Q42*0.55),4)*$X$1,2),ROUND(ROUND((Basisbedragen!$C$27*0.55),4)*$X$1,2)))</f>
        <v>55.29</v>
      </c>
      <c r="I43" s="59">
        <f t="shared" si="10"/>
        <v>55.29</v>
      </c>
      <c r="J43" s="59">
        <f t="shared" si="10"/>
        <v>55.29</v>
      </c>
      <c r="K43" s="59">
        <f t="shared" si="10"/>
        <v>55.29</v>
      </c>
      <c r="L43" s="59">
        <f t="shared" si="10"/>
        <v>55.29</v>
      </c>
      <c r="M43" s="42"/>
      <c r="N43" s="42">
        <f t="shared" si="8"/>
        <v>49.34</v>
      </c>
      <c r="O43" s="59">
        <f t="shared" si="9"/>
        <v>55.29</v>
      </c>
      <c r="P43" s="42"/>
      <c r="Q43" s="59">
        <f>IF(ROUND(ROUND(('Loonschijven_Tranches salariale'!$Q42*0.6),4)*$X$1,2)&lt;Q$8,Q$8,IF('Loonschijven_Tranches salariale'!$Q42&lt;Basisbedragen!$C$23,ROUND(ROUND(('Loonschijven_Tranches salariale'!$Q42*0.6),4)*$X$1,2),ROUND(ROUND((Basisbedragen!$C$23*0.6),4)*$X$1,2)))</f>
        <v>61.35</v>
      </c>
      <c r="R43" s="59">
        <f t="shared" si="11"/>
        <v>60.23</v>
      </c>
      <c r="S43" s="59">
        <f t="shared" si="11"/>
        <v>60.23</v>
      </c>
      <c r="T43" s="59">
        <f t="shared" si="11"/>
        <v>60.23</v>
      </c>
      <c r="U43" s="59">
        <f t="shared" si="11"/>
        <v>60.23</v>
      </c>
      <c r="V43" s="43"/>
      <c r="W43" s="234">
        <f>N43+ROUND(Basisbedragen!$C$57*$X$1,2)</f>
        <v>54.28</v>
      </c>
      <c r="X43" s="59">
        <f>O43+ROUND(Basisbedragen!$C$57*$X$1,2)</f>
        <v>60.23</v>
      </c>
    </row>
    <row r="44" spans="1:24" ht="15" hidden="1" outlineLevel="1" thickBot="1">
      <c r="A44" s="54">
        <f t="shared" si="7"/>
        <v>36</v>
      </c>
      <c r="C44" s="59">
        <f>IF(ROUND(ROUND(('Loonschijven_Tranches salariale'!$Q43*0.65),4)*$X$1,2)&lt;C$8,C$8,ROUND(ROUND(('Loonschijven_Tranches salariale'!$Q43*0.65),4)*$X$1,2))</f>
        <v>55.29</v>
      </c>
      <c r="D44" s="59">
        <f>IF(ROUND(ROUND(('Loonschijven_Tranches salariale'!$Q43*0.6),4)*$X$1,2)&lt;D$8,D$8,ROUND(ROUND(('Loonschijven_Tranches salariale'!$Q43*0.6),4)*$X$1,2))</f>
        <v>55.29</v>
      </c>
      <c r="E44" s="59">
        <f>IF(ROUND(ROUND(('Loonschijven_Tranches salariale'!$Q43*0.6),4)*$X$1,2)&lt;E$8,E$8,IF('Loonschijven_Tranches salariale'!$Q43&lt;Basisbedragen!$C$24,ROUND(ROUND(('Loonschijven_Tranches salariale'!$Q43*0.6),4)*$X$1,2),ROUND(ROUND((Basisbedragen!$C$24*0.6),4)*$X$1,2)))</f>
        <v>55.29</v>
      </c>
      <c r="F44" s="42"/>
      <c r="G44" s="59">
        <f>IF(ROUND(ROUND(('Loonschijven_Tranches salariale'!$Q43*0.6),4)*$X$1,2)&lt;G$8,G$8,IF('Loonschijven_Tranches salariale'!$Q43&lt;Basisbedragen!$C$23,ROUND(ROUND(('Loonschijven_Tranches salariale'!$Q43*0.6),4)*$X$1,2),ROUND(ROUND((Basisbedragen!$C$23*0.6),4)*$X$1,2)))</f>
        <v>55.29</v>
      </c>
      <c r="H44" s="59">
        <f>IF(ROUND(ROUND(('Loonschijven_Tranches salariale'!$Q43*0.55),4)*$X$1,2)&lt;H$8,H$8,IF('Loonschijven_Tranches salariale'!$Q43&lt;Basisbedragen!$C$27,ROUND(ROUND(('Loonschijven_Tranches salariale'!$Q43*0.55),4)*$X$1,2),ROUND(ROUND((Basisbedragen!$C$27*0.55),4)*$X$1,2)))</f>
        <v>55.29</v>
      </c>
      <c r="I44" s="59">
        <f t="shared" si="10"/>
        <v>55.29</v>
      </c>
      <c r="J44" s="59">
        <f t="shared" si="10"/>
        <v>55.29</v>
      </c>
      <c r="K44" s="59">
        <f t="shared" si="10"/>
        <v>55.29</v>
      </c>
      <c r="L44" s="59">
        <f t="shared" si="10"/>
        <v>55.29</v>
      </c>
      <c r="M44" s="42"/>
      <c r="N44" s="42">
        <f t="shared" si="8"/>
        <v>49.34</v>
      </c>
      <c r="O44" s="59">
        <f t="shared" si="9"/>
        <v>55.29</v>
      </c>
      <c r="P44" s="42"/>
      <c r="Q44" s="59">
        <f>IF(ROUND(ROUND(('Loonschijven_Tranches salariale'!$Q43*0.6),4)*$X$1,2)&lt;Q$8,Q$8,IF('Loonschijven_Tranches salariale'!$Q43&lt;Basisbedragen!$C$23,ROUND(ROUND(('Loonschijven_Tranches salariale'!$Q43*0.6),4)*$X$1,2),ROUND(ROUND((Basisbedragen!$C$23*0.6),4)*$X$1,2)))</f>
        <v>61.35</v>
      </c>
      <c r="R44" s="59">
        <f t="shared" si="11"/>
        <v>60.23</v>
      </c>
      <c r="S44" s="59">
        <f t="shared" si="11"/>
        <v>60.23</v>
      </c>
      <c r="T44" s="59">
        <f t="shared" si="11"/>
        <v>60.23</v>
      </c>
      <c r="U44" s="59">
        <f t="shared" si="11"/>
        <v>60.23</v>
      </c>
      <c r="V44" s="43"/>
      <c r="W44" s="234">
        <f>N44+ROUND(Basisbedragen!$C$57*$X$1,2)</f>
        <v>54.28</v>
      </c>
      <c r="X44" s="59">
        <f>O44+ROUND(Basisbedragen!$C$57*$X$1,2)</f>
        <v>60.23</v>
      </c>
    </row>
    <row r="45" spans="1:24" ht="15" hidden="1" outlineLevel="1" thickBot="1">
      <c r="A45" s="54">
        <f t="shared" si="7"/>
        <v>37</v>
      </c>
      <c r="C45" s="59">
        <f>IF(ROUND(ROUND(('Loonschijven_Tranches salariale'!$Q44*0.65),4)*$X$1,2)&lt;C$8,C$8,ROUND(ROUND(('Loonschijven_Tranches salariale'!$Q44*0.65),4)*$X$1,2))</f>
        <v>55.29</v>
      </c>
      <c r="D45" s="59">
        <f>IF(ROUND(ROUND(('Loonschijven_Tranches salariale'!$Q44*0.6),4)*$X$1,2)&lt;D$8,D$8,ROUND(ROUND(('Loonschijven_Tranches salariale'!$Q44*0.6),4)*$X$1,2))</f>
        <v>55.29</v>
      </c>
      <c r="E45" s="59">
        <f>IF(ROUND(ROUND(('Loonschijven_Tranches salariale'!$Q44*0.6),4)*$X$1,2)&lt;E$8,E$8,IF('Loonschijven_Tranches salariale'!$Q44&lt;Basisbedragen!$C$24,ROUND(ROUND(('Loonschijven_Tranches salariale'!$Q44*0.6),4)*$X$1,2),ROUND(ROUND((Basisbedragen!$C$24*0.6),4)*$X$1,2)))</f>
        <v>55.29</v>
      </c>
      <c r="F45" s="42"/>
      <c r="G45" s="59">
        <f>IF(ROUND(ROUND(('Loonschijven_Tranches salariale'!$Q44*0.6),4)*$X$1,2)&lt;G$8,G$8,IF('Loonschijven_Tranches salariale'!$Q44&lt;Basisbedragen!$C$23,ROUND(ROUND(('Loonschijven_Tranches salariale'!$Q44*0.6),4)*$X$1,2),ROUND(ROUND((Basisbedragen!$C$23*0.6),4)*$X$1,2)))</f>
        <v>55.29</v>
      </c>
      <c r="H45" s="59">
        <f>IF(ROUND(ROUND(('Loonschijven_Tranches salariale'!$Q44*0.55),4)*$X$1,2)&lt;H$8,H$8,IF('Loonschijven_Tranches salariale'!$Q44&lt;Basisbedragen!$C$27,ROUND(ROUND(('Loonschijven_Tranches salariale'!$Q44*0.55),4)*$X$1,2),ROUND(ROUND((Basisbedragen!$C$27*0.55),4)*$X$1,2)))</f>
        <v>55.29</v>
      </c>
      <c r="I45" s="59">
        <f t="shared" si="10"/>
        <v>55.29</v>
      </c>
      <c r="J45" s="59">
        <f t="shared" si="10"/>
        <v>55.29</v>
      </c>
      <c r="K45" s="59">
        <f t="shared" si="10"/>
        <v>55.29</v>
      </c>
      <c r="L45" s="59">
        <f t="shared" si="10"/>
        <v>55.29</v>
      </c>
      <c r="M45" s="42"/>
      <c r="N45" s="42">
        <f t="shared" si="8"/>
        <v>49.34</v>
      </c>
      <c r="O45" s="59">
        <f t="shared" si="9"/>
        <v>55.29</v>
      </c>
      <c r="P45" s="42"/>
      <c r="Q45" s="59">
        <f>IF(ROUND(ROUND(('Loonschijven_Tranches salariale'!$Q44*0.6),4)*$X$1,2)&lt;Q$8,Q$8,IF('Loonschijven_Tranches salariale'!$Q44&lt;Basisbedragen!$C$23,ROUND(ROUND(('Loonschijven_Tranches salariale'!$Q44*0.6),4)*$X$1,2),ROUND(ROUND((Basisbedragen!$C$23*0.6),4)*$X$1,2)))</f>
        <v>61.35</v>
      </c>
      <c r="R45" s="59">
        <f t="shared" si="11"/>
        <v>60.23</v>
      </c>
      <c r="S45" s="59">
        <f t="shared" si="11"/>
        <v>60.23</v>
      </c>
      <c r="T45" s="59">
        <f t="shared" si="11"/>
        <v>60.23</v>
      </c>
      <c r="U45" s="59">
        <f t="shared" si="11"/>
        <v>60.23</v>
      </c>
      <c r="V45" s="43"/>
      <c r="W45" s="234">
        <f>N45+ROUND(Basisbedragen!$C$57*$X$1,2)</f>
        <v>54.28</v>
      </c>
      <c r="X45" s="59">
        <f>O45+ROUND(Basisbedragen!$C$57*$X$1,2)</f>
        <v>60.23</v>
      </c>
    </row>
    <row r="46" spans="1:24" ht="15" hidden="1" outlineLevel="1" thickBot="1">
      <c r="A46" s="54">
        <f t="shared" si="7"/>
        <v>38</v>
      </c>
      <c r="C46" s="59">
        <f>IF(ROUND(ROUND(('Loonschijven_Tranches salariale'!$Q45*0.65),4)*$X$1,2)&lt;C$8,C$8,ROUND(ROUND(('Loonschijven_Tranches salariale'!$Q45*0.65),4)*$X$1,2))</f>
        <v>55.29</v>
      </c>
      <c r="D46" s="59">
        <f>IF(ROUND(ROUND(('Loonschijven_Tranches salariale'!$Q45*0.6),4)*$X$1,2)&lt;D$8,D$8,ROUND(ROUND(('Loonschijven_Tranches salariale'!$Q45*0.6),4)*$X$1,2))</f>
        <v>55.29</v>
      </c>
      <c r="E46" s="59">
        <f>IF(ROUND(ROUND(('Loonschijven_Tranches salariale'!$Q45*0.6),4)*$X$1,2)&lt;E$8,E$8,IF('Loonschijven_Tranches salariale'!$Q45&lt;Basisbedragen!$C$24,ROUND(ROUND(('Loonschijven_Tranches salariale'!$Q45*0.6),4)*$X$1,2),ROUND(ROUND((Basisbedragen!$C$24*0.6),4)*$X$1,2)))</f>
        <v>55.29</v>
      </c>
      <c r="F46" s="42"/>
      <c r="G46" s="59">
        <f>IF(ROUND(ROUND(('Loonschijven_Tranches salariale'!$Q45*0.6),4)*$X$1,2)&lt;G$8,G$8,IF('Loonschijven_Tranches salariale'!$Q45&lt;Basisbedragen!$C$23,ROUND(ROUND(('Loonschijven_Tranches salariale'!$Q45*0.6),4)*$X$1,2),ROUND(ROUND((Basisbedragen!$C$23*0.6),4)*$X$1,2)))</f>
        <v>55.29</v>
      </c>
      <c r="H46" s="59">
        <f>IF(ROUND(ROUND(('Loonschijven_Tranches salariale'!$Q45*0.55),4)*$X$1,2)&lt;H$8,H$8,IF('Loonschijven_Tranches salariale'!$Q45&lt;Basisbedragen!$C$27,ROUND(ROUND(('Loonschijven_Tranches salariale'!$Q45*0.55),4)*$X$1,2),ROUND(ROUND((Basisbedragen!$C$27*0.55),4)*$X$1,2)))</f>
        <v>55.29</v>
      </c>
      <c r="I46" s="59">
        <f t="shared" si="10"/>
        <v>55.29</v>
      </c>
      <c r="J46" s="59">
        <f t="shared" si="10"/>
        <v>55.29</v>
      </c>
      <c r="K46" s="59">
        <f t="shared" si="10"/>
        <v>55.29</v>
      </c>
      <c r="L46" s="59">
        <f t="shared" si="10"/>
        <v>55.29</v>
      </c>
      <c r="M46" s="42"/>
      <c r="N46" s="42">
        <f t="shared" si="8"/>
        <v>49.34</v>
      </c>
      <c r="O46" s="59">
        <f t="shared" si="9"/>
        <v>55.29</v>
      </c>
      <c r="P46" s="42"/>
      <c r="Q46" s="59">
        <f>IF(ROUND(ROUND(('Loonschijven_Tranches salariale'!$Q45*0.6),4)*$X$1,2)&lt;Q$8,Q$8,IF('Loonschijven_Tranches salariale'!$Q45&lt;Basisbedragen!$C$23,ROUND(ROUND(('Loonschijven_Tranches salariale'!$Q45*0.6),4)*$X$1,2),ROUND(ROUND((Basisbedragen!$C$23*0.6),4)*$X$1,2)))</f>
        <v>61.35</v>
      </c>
      <c r="R46" s="59">
        <f t="shared" si="11"/>
        <v>60.23</v>
      </c>
      <c r="S46" s="59">
        <f t="shared" si="11"/>
        <v>60.23</v>
      </c>
      <c r="T46" s="59">
        <f t="shared" si="11"/>
        <v>60.23</v>
      </c>
      <c r="U46" s="59">
        <f t="shared" si="11"/>
        <v>60.23</v>
      </c>
      <c r="V46" s="43"/>
      <c r="W46" s="234">
        <f>N46+ROUND(Basisbedragen!$C$57*$X$1,2)</f>
        <v>54.28</v>
      </c>
      <c r="X46" s="59">
        <f>O46+ROUND(Basisbedragen!$C$57*$X$1,2)</f>
        <v>60.23</v>
      </c>
    </row>
    <row r="47" spans="1:24" ht="15" hidden="1" outlineLevel="1" thickBot="1">
      <c r="A47" s="54">
        <f t="shared" si="7"/>
        <v>39</v>
      </c>
      <c r="C47" s="59">
        <f>IF(ROUND(ROUND(('Loonschijven_Tranches salariale'!$Q46*0.65),4)*$X$1,2)&lt;C$8,C$8,ROUND(ROUND(('Loonschijven_Tranches salariale'!$Q46*0.65),4)*$X$1,2))</f>
        <v>55.29</v>
      </c>
      <c r="D47" s="59">
        <f>IF(ROUND(ROUND(('Loonschijven_Tranches salariale'!$Q46*0.6),4)*$X$1,2)&lt;D$8,D$8,ROUND(ROUND(('Loonschijven_Tranches salariale'!$Q46*0.6),4)*$X$1,2))</f>
        <v>55.29</v>
      </c>
      <c r="E47" s="59">
        <f>IF(ROUND(ROUND(('Loonschijven_Tranches salariale'!$Q46*0.6),4)*$X$1,2)&lt;E$8,E$8,IF('Loonschijven_Tranches salariale'!$Q46&lt;Basisbedragen!$C$24,ROUND(ROUND(('Loonschijven_Tranches salariale'!$Q46*0.6),4)*$X$1,2),ROUND(ROUND((Basisbedragen!$C$24*0.6),4)*$X$1,2)))</f>
        <v>55.29</v>
      </c>
      <c r="F47" s="42"/>
      <c r="G47" s="59">
        <f>IF(ROUND(ROUND(('Loonschijven_Tranches salariale'!$Q46*0.6),4)*$X$1,2)&lt;G$8,G$8,IF('Loonschijven_Tranches salariale'!$Q46&lt;Basisbedragen!$C$23,ROUND(ROUND(('Loonschijven_Tranches salariale'!$Q46*0.6),4)*$X$1,2),ROUND(ROUND((Basisbedragen!$C$23*0.6),4)*$X$1,2)))</f>
        <v>55.29</v>
      </c>
      <c r="H47" s="59">
        <f>IF(ROUND(ROUND(('Loonschijven_Tranches salariale'!$Q46*0.55),4)*$X$1,2)&lt;H$8,H$8,IF('Loonschijven_Tranches salariale'!$Q46&lt;Basisbedragen!$C$27,ROUND(ROUND(('Loonschijven_Tranches salariale'!$Q46*0.55),4)*$X$1,2),ROUND(ROUND((Basisbedragen!$C$27*0.55),4)*$X$1,2)))</f>
        <v>55.29</v>
      </c>
      <c r="I47" s="59">
        <f t="shared" si="10"/>
        <v>55.29</v>
      </c>
      <c r="J47" s="59">
        <f t="shared" si="10"/>
        <v>55.29</v>
      </c>
      <c r="K47" s="59">
        <f t="shared" si="10"/>
        <v>55.29</v>
      </c>
      <c r="L47" s="59">
        <f t="shared" si="10"/>
        <v>55.29</v>
      </c>
      <c r="M47" s="42"/>
      <c r="N47" s="42">
        <f t="shared" si="8"/>
        <v>49.34</v>
      </c>
      <c r="O47" s="59">
        <f t="shared" si="9"/>
        <v>55.29</v>
      </c>
      <c r="P47" s="42"/>
      <c r="Q47" s="59">
        <f>IF(ROUND(ROUND(('Loonschijven_Tranches salariale'!$Q46*0.6),4)*$X$1,2)&lt;Q$8,Q$8,IF('Loonschijven_Tranches salariale'!$Q46&lt;Basisbedragen!$C$23,ROUND(ROUND(('Loonschijven_Tranches salariale'!$Q46*0.6),4)*$X$1,2),ROUND(ROUND((Basisbedragen!$C$23*0.6),4)*$X$1,2)))</f>
        <v>61.35</v>
      </c>
      <c r="R47" s="59">
        <f t="shared" si="11"/>
        <v>60.23</v>
      </c>
      <c r="S47" s="59">
        <f t="shared" si="11"/>
        <v>60.23</v>
      </c>
      <c r="T47" s="59">
        <f t="shared" si="11"/>
        <v>60.23</v>
      </c>
      <c r="U47" s="59">
        <f t="shared" si="11"/>
        <v>60.23</v>
      </c>
      <c r="V47" s="43"/>
      <c r="W47" s="234">
        <f>N47+ROUND(Basisbedragen!$C$57*$X$1,2)</f>
        <v>54.28</v>
      </c>
      <c r="X47" s="59">
        <f>O47+ROUND(Basisbedragen!$C$57*$X$1,2)</f>
        <v>60.23</v>
      </c>
    </row>
    <row r="48" spans="1:24" ht="15" hidden="1" outlineLevel="1" thickBot="1">
      <c r="A48" s="54">
        <f t="shared" si="7"/>
        <v>40</v>
      </c>
      <c r="C48" s="59">
        <f>IF(ROUND(ROUND(('Loonschijven_Tranches salariale'!$Q47*0.65),4)*$X$1,2)&lt;C$8,C$8,ROUND(ROUND(('Loonschijven_Tranches salariale'!$Q47*0.65),4)*$X$1,2))</f>
        <v>55.29</v>
      </c>
      <c r="D48" s="59">
        <f>IF(ROUND(ROUND(('Loonschijven_Tranches salariale'!$Q47*0.6),4)*$X$1,2)&lt;D$8,D$8,ROUND(ROUND(('Loonschijven_Tranches salariale'!$Q47*0.6),4)*$X$1,2))</f>
        <v>55.29</v>
      </c>
      <c r="E48" s="59">
        <f>IF(ROUND(ROUND(('Loonschijven_Tranches salariale'!$Q47*0.6),4)*$X$1,2)&lt;E$8,E$8,IF('Loonschijven_Tranches salariale'!$Q47&lt;Basisbedragen!$C$24,ROUND(ROUND(('Loonschijven_Tranches salariale'!$Q47*0.6),4)*$X$1,2),ROUND(ROUND((Basisbedragen!$C$24*0.6),4)*$X$1,2)))</f>
        <v>55.29</v>
      </c>
      <c r="F48" s="42"/>
      <c r="G48" s="59">
        <f>IF(ROUND(ROUND(('Loonschijven_Tranches salariale'!$Q47*0.6),4)*$X$1,2)&lt;G$8,G$8,IF('Loonschijven_Tranches salariale'!$Q47&lt;Basisbedragen!$C$23,ROUND(ROUND(('Loonschijven_Tranches salariale'!$Q47*0.6),4)*$X$1,2),ROUND(ROUND((Basisbedragen!$C$23*0.6),4)*$X$1,2)))</f>
        <v>55.29</v>
      </c>
      <c r="H48" s="59">
        <f>IF(ROUND(ROUND(('Loonschijven_Tranches salariale'!$Q47*0.55),4)*$X$1,2)&lt;H$8,H$8,IF('Loonschijven_Tranches salariale'!$Q47&lt;Basisbedragen!$C$27,ROUND(ROUND(('Loonschijven_Tranches salariale'!$Q47*0.55),4)*$X$1,2),ROUND(ROUND((Basisbedragen!$C$27*0.55),4)*$X$1,2)))</f>
        <v>55.29</v>
      </c>
      <c r="I48" s="59">
        <f t="shared" si="10"/>
        <v>55.29</v>
      </c>
      <c r="J48" s="59">
        <f t="shared" si="10"/>
        <v>55.29</v>
      </c>
      <c r="K48" s="59">
        <f t="shared" si="10"/>
        <v>55.29</v>
      </c>
      <c r="L48" s="59">
        <f t="shared" si="10"/>
        <v>55.29</v>
      </c>
      <c r="M48" s="42"/>
      <c r="N48" s="42">
        <f t="shared" si="8"/>
        <v>49.34</v>
      </c>
      <c r="O48" s="59">
        <f t="shared" si="9"/>
        <v>55.29</v>
      </c>
      <c r="P48" s="42"/>
      <c r="Q48" s="59">
        <f>IF(ROUND(ROUND(('Loonschijven_Tranches salariale'!$Q47*0.6),4)*$X$1,2)&lt;Q$8,Q$8,IF('Loonschijven_Tranches salariale'!$Q47&lt;Basisbedragen!$C$23,ROUND(ROUND(('Loonschijven_Tranches salariale'!$Q47*0.6),4)*$X$1,2),ROUND(ROUND((Basisbedragen!$C$23*0.6),4)*$X$1,2)))</f>
        <v>61.35</v>
      </c>
      <c r="R48" s="59">
        <f t="shared" si="11"/>
        <v>60.23</v>
      </c>
      <c r="S48" s="59">
        <f t="shared" si="11"/>
        <v>60.23</v>
      </c>
      <c r="T48" s="59">
        <f t="shared" si="11"/>
        <v>60.23</v>
      </c>
      <c r="U48" s="59">
        <f t="shared" si="11"/>
        <v>60.23</v>
      </c>
      <c r="V48" s="43"/>
      <c r="W48" s="234">
        <f>N48+ROUND(Basisbedragen!$C$57*$X$1,2)</f>
        <v>54.28</v>
      </c>
      <c r="X48" s="59">
        <f>O48+ROUND(Basisbedragen!$C$57*$X$1,2)</f>
        <v>60.23</v>
      </c>
    </row>
    <row r="49" spans="1:24" ht="15" hidden="1" outlineLevel="1" thickBot="1">
      <c r="A49" s="54">
        <f t="shared" si="7"/>
        <v>41</v>
      </c>
      <c r="C49" s="59">
        <f>IF(ROUND(ROUND(('Loonschijven_Tranches salariale'!$Q48*0.65),4)*$X$1,2)&lt;C$8,C$8,ROUND(ROUND(('Loonschijven_Tranches salariale'!$Q48*0.65),4)*$X$1,2))</f>
        <v>55.29</v>
      </c>
      <c r="D49" s="59">
        <f>IF(ROUND(ROUND(('Loonschijven_Tranches salariale'!$Q48*0.6),4)*$X$1,2)&lt;D$8,D$8,ROUND(ROUND(('Loonschijven_Tranches salariale'!$Q48*0.6),4)*$X$1,2))</f>
        <v>55.29</v>
      </c>
      <c r="E49" s="59">
        <f>IF(ROUND(ROUND(('Loonschijven_Tranches salariale'!$Q48*0.6),4)*$X$1,2)&lt;E$8,E$8,IF('Loonschijven_Tranches salariale'!$Q48&lt;Basisbedragen!$C$24,ROUND(ROUND(('Loonschijven_Tranches salariale'!$Q48*0.6),4)*$X$1,2),ROUND(ROUND((Basisbedragen!$C$24*0.6),4)*$X$1,2)))</f>
        <v>55.29</v>
      </c>
      <c r="F49" s="42"/>
      <c r="G49" s="59">
        <f>IF(ROUND(ROUND(('Loonschijven_Tranches salariale'!$Q48*0.6),4)*$X$1,2)&lt;G$8,G$8,IF('Loonschijven_Tranches salariale'!$Q48&lt;Basisbedragen!$C$23,ROUND(ROUND(('Loonschijven_Tranches salariale'!$Q48*0.6),4)*$X$1,2),ROUND(ROUND((Basisbedragen!$C$23*0.6),4)*$X$1,2)))</f>
        <v>55.29</v>
      </c>
      <c r="H49" s="59">
        <f>IF(ROUND(ROUND(('Loonschijven_Tranches salariale'!$Q48*0.55),4)*$X$1,2)&lt;H$8,H$8,IF('Loonschijven_Tranches salariale'!$Q48&lt;Basisbedragen!$C$27,ROUND(ROUND(('Loonschijven_Tranches salariale'!$Q48*0.55),4)*$X$1,2),ROUND(ROUND((Basisbedragen!$C$27*0.55),4)*$X$1,2)))</f>
        <v>55.29</v>
      </c>
      <c r="I49" s="59">
        <f t="shared" si="10"/>
        <v>55.29</v>
      </c>
      <c r="J49" s="59">
        <f t="shared" si="10"/>
        <v>55.29</v>
      </c>
      <c r="K49" s="59">
        <f t="shared" si="10"/>
        <v>55.29</v>
      </c>
      <c r="L49" s="59">
        <f t="shared" si="10"/>
        <v>55.29</v>
      </c>
      <c r="M49" s="42"/>
      <c r="N49" s="42">
        <f t="shared" si="8"/>
        <v>49.34</v>
      </c>
      <c r="O49" s="59">
        <f t="shared" si="9"/>
        <v>55.29</v>
      </c>
      <c r="P49" s="42"/>
      <c r="Q49" s="59">
        <f>IF(ROUND(ROUND(('Loonschijven_Tranches salariale'!$Q48*0.6),4)*$X$1,2)&lt;Q$8,Q$8,IF('Loonschijven_Tranches salariale'!$Q48&lt;Basisbedragen!$C$23,ROUND(ROUND(('Loonschijven_Tranches salariale'!$Q48*0.6),4)*$X$1,2),ROUND(ROUND((Basisbedragen!$C$23*0.6),4)*$X$1,2)))</f>
        <v>61.35</v>
      </c>
      <c r="R49" s="59">
        <f t="shared" si="11"/>
        <v>60.23</v>
      </c>
      <c r="S49" s="59">
        <f t="shared" si="11"/>
        <v>60.23</v>
      </c>
      <c r="T49" s="59">
        <f t="shared" si="11"/>
        <v>60.23</v>
      </c>
      <c r="U49" s="59">
        <f t="shared" si="11"/>
        <v>60.23</v>
      </c>
      <c r="V49" s="43"/>
      <c r="W49" s="234">
        <f>N49+ROUND(Basisbedragen!$C$57*$X$1,2)</f>
        <v>54.28</v>
      </c>
      <c r="X49" s="59">
        <f>O49+ROUND(Basisbedragen!$C$57*$X$1,2)</f>
        <v>60.23</v>
      </c>
    </row>
    <row r="50" spans="1:24" ht="15" collapsed="1" thickBot="1">
      <c r="A50" s="54">
        <f t="shared" si="7"/>
        <v>42</v>
      </c>
      <c r="C50" s="59">
        <f>IF(ROUND(ROUND(('Loonschijven_Tranches salariale'!$Q49*0.65),4)*$X$1,2)&lt;C$8,C$8,ROUND(ROUND(('Loonschijven_Tranches salariale'!$Q49*0.65),4)*$X$1,2))</f>
        <v>55.29</v>
      </c>
      <c r="D50" s="59">
        <f>IF(ROUND(ROUND(('Loonschijven_Tranches salariale'!$Q49*0.6),4)*$X$1,2)&lt;D$8,D$8,ROUND(ROUND(('Loonschijven_Tranches salariale'!$Q49*0.6),4)*$X$1,2))</f>
        <v>55.29</v>
      </c>
      <c r="E50" s="59">
        <f>IF(ROUND(ROUND(('Loonschijven_Tranches salariale'!$Q49*0.6),4)*$X$1,2)&lt;E$8,E$8,IF('Loonschijven_Tranches salariale'!$Q49&lt;Basisbedragen!$C$24,ROUND(ROUND(('Loonschijven_Tranches salariale'!$Q49*0.6),4)*$X$1,2),ROUND(ROUND((Basisbedragen!$C$24*0.6),4)*$X$1,2)))</f>
        <v>55.29</v>
      </c>
      <c r="F50" s="42"/>
      <c r="G50" s="59">
        <f>IF(ROUND(ROUND(('Loonschijven_Tranches salariale'!$Q49*0.6),4)*$X$1,2)&lt;G$8,G$8,IF('Loonschijven_Tranches salariale'!$Q49&lt;Basisbedragen!$C$23,ROUND(ROUND(('Loonschijven_Tranches salariale'!$Q49*0.6),4)*$X$1,2),ROUND(ROUND((Basisbedragen!$C$23*0.6),4)*$X$1,2)))</f>
        <v>55.29</v>
      </c>
      <c r="H50" s="59">
        <f>IF(ROUND(ROUND(('Loonschijven_Tranches salariale'!$Q49*0.55),4)*$X$1,2)&lt;H$8,H$8,IF('Loonschijven_Tranches salariale'!$Q49&lt;Basisbedragen!$C$27,ROUND(ROUND(('Loonschijven_Tranches salariale'!$Q49*0.55),4)*$X$1,2),ROUND(ROUND((Basisbedragen!$C$27*0.55),4)*$X$1,2)))</f>
        <v>55.29</v>
      </c>
      <c r="I50" s="59">
        <f t="shared" si="10"/>
        <v>55.29</v>
      </c>
      <c r="J50" s="59">
        <f t="shared" si="10"/>
        <v>55.29</v>
      </c>
      <c r="K50" s="59">
        <f t="shared" si="10"/>
        <v>55.29</v>
      </c>
      <c r="L50" s="59">
        <f t="shared" si="10"/>
        <v>55.29</v>
      </c>
      <c r="M50" s="42"/>
      <c r="N50" s="42">
        <f t="shared" si="8"/>
        <v>49.34</v>
      </c>
      <c r="O50" s="59">
        <f t="shared" si="9"/>
        <v>55.29</v>
      </c>
      <c r="P50" s="42"/>
      <c r="Q50" s="59">
        <f>IF(ROUND(ROUND(('Loonschijven_Tranches salariale'!$Q49*0.6),4)*$X$1,2)&lt;Q$8,Q$8,IF('Loonschijven_Tranches salariale'!$Q49&lt;Basisbedragen!$C$23,ROUND(ROUND(('Loonschijven_Tranches salariale'!$Q49*0.6),4)*$X$1,2),ROUND(ROUND((Basisbedragen!$C$23*0.6),4)*$X$1,2)))</f>
        <v>61.35</v>
      </c>
      <c r="R50" s="59">
        <f t="shared" si="11"/>
        <v>60.23</v>
      </c>
      <c r="S50" s="59">
        <f t="shared" si="11"/>
        <v>60.23</v>
      </c>
      <c r="T50" s="59">
        <f t="shared" si="11"/>
        <v>60.23</v>
      </c>
      <c r="U50" s="59">
        <f t="shared" si="11"/>
        <v>60.23</v>
      </c>
      <c r="V50" s="43"/>
      <c r="W50" s="234">
        <f>N50+ROUND(Basisbedragen!$C$57*$X$1,2)</f>
        <v>54.28</v>
      </c>
      <c r="X50" s="59">
        <f>O50+ROUND(Basisbedragen!$C$57*$X$1,2)</f>
        <v>60.23</v>
      </c>
    </row>
    <row r="51" spans="1:24" ht="15" thickBot="1">
      <c r="A51" s="54">
        <f t="shared" si="7"/>
        <v>43</v>
      </c>
      <c r="C51" s="59">
        <f>IF(ROUND(ROUND(('Loonschijven_Tranches salariale'!$Q50*0.65),4)*$X$1,2)&lt;C$8,C$8,ROUND(ROUND(('Loonschijven_Tranches salariale'!$Q50*0.65),4)*$X$1,2))</f>
        <v>55.29</v>
      </c>
      <c r="D51" s="59">
        <f>IF(ROUND(ROUND(('Loonschijven_Tranches salariale'!$Q50*0.6),4)*$X$1,2)&lt;D$8,D$8,ROUND(ROUND(('Loonschijven_Tranches salariale'!$Q50*0.6),4)*$X$1,2))</f>
        <v>55.29</v>
      </c>
      <c r="E51" s="59">
        <f>IF(ROUND(ROUND(('Loonschijven_Tranches salariale'!$Q50*0.6),4)*$X$1,2)&lt;E$8,E$8,IF('Loonschijven_Tranches salariale'!$Q50&lt;Basisbedragen!$C$24,ROUND(ROUND(('Loonschijven_Tranches salariale'!$Q50*0.6),4)*$X$1,2),ROUND(ROUND((Basisbedragen!$C$24*0.6),4)*$X$1,2)))</f>
        <v>55.29</v>
      </c>
      <c r="F51" s="42"/>
      <c r="G51" s="59">
        <f>IF(ROUND(ROUND(('Loonschijven_Tranches salariale'!$Q50*0.6),4)*$X$1,2)&lt;G$8,G$8,IF('Loonschijven_Tranches salariale'!$Q50&lt;Basisbedragen!$C$23,ROUND(ROUND(('Loonschijven_Tranches salariale'!$Q50*0.6),4)*$X$1,2),ROUND(ROUND((Basisbedragen!$C$23*0.6),4)*$X$1,2)))</f>
        <v>55.29</v>
      </c>
      <c r="H51" s="59">
        <f>IF(ROUND(ROUND(('Loonschijven_Tranches salariale'!$Q50*0.55),4)*$X$1,2)&lt;H$8,H$8,IF('Loonschijven_Tranches salariale'!$Q50&lt;Basisbedragen!$C$27,ROUND(ROUND(('Loonschijven_Tranches salariale'!$Q50*0.55),4)*$X$1,2),ROUND(ROUND((Basisbedragen!$C$27*0.55),4)*$X$1,2)))</f>
        <v>55.29</v>
      </c>
      <c r="I51" s="59">
        <f t="shared" si="10"/>
        <v>55.29</v>
      </c>
      <c r="J51" s="59">
        <f t="shared" si="10"/>
        <v>55.29</v>
      </c>
      <c r="K51" s="59">
        <f t="shared" si="10"/>
        <v>55.29</v>
      </c>
      <c r="L51" s="59">
        <f t="shared" si="10"/>
        <v>55.29</v>
      </c>
      <c r="M51" s="42"/>
      <c r="N51" s="42">
        <f t="shared" si="8"/>
        <v>49.34</v>
      </c>
      <c r="O51" s="59">
        <f t="shared" si="9"/>
        <v>55.29</v>
      </c>
      <c r="P51" s="42"/>
      <c r="Q51" s="59">
        <f>IF(ROUND(ROUND(('Loonschijven_Tranches salariale'!$Q50*0.6),4)*$X$1,2)&lt;Q$8,Q$8,IF('Loonschijven_Tranches salariale'!$Q50&lt;Basisbedragen!$C$23,ROUND(ROUND(('Loonschijven_Tranches salariale'!$Q50*0.6),4)*$X$1,2),ROUND(ROUND((Basisbedragen!$C$23*0.6),4)*$X$1,2)))</f>
        <v>61.35</v>
      </c>
      <c r="R51" s="59">
        <f t="shared" si="11"/>
        <v>60.23</v>
      </c>
      <c r="S51" s="59">
        <f t="shared" si="11"/>
        <v>60.23</v>
      </c>
      <c r="T51" s="59">
        <f t="shared" si="11"/>
        <v>60.23</v>
      </c>
      <c r="U51" s="59">
        <f t="shared" si="11"/>
        <v>60.23</v>
      </c>
      <c r="V51" s="43"/>
      <c r="W51" s="234">
        <f>N51+ROUND(Basisbedragen!$C$57*$X$1,2)</f>
        <v>54.28</v>
      </c>
      <c r="X51" s="59">
        <f>O51+ROUND(Basisbedragen!$C$57*$X$1,2)</f>
        <v>60.23</v>
      </c>
    </row>
    <row r="52" spans="1:24" ht="15" thickBot="1">
      <c r="A52" s="54">
        <f t="shared" si="7"/>
        <v>44</v>
      </c>
      <c r="C52" s="59">
        <f>IF(ROUND(ROUND(('Loonschijven_Tranches salariale'!$Q51*0.65),4)*$X$1,2)&lt;C$8,C$8,ROUND(ROUND(('Loonschijven_Tranches salariale'!$Q51*0.65),4)*$X$1,2))</f>
        <v>55.29</v>
      </c>
      <c r="D52" s="59">
        <f>IF(ROUND(ROUND(('Loonschijven_Tranches salariale'!$Q51*0.6),4)*$X$1,2)&lt;D$8,D$8,ROUND(ROUND(('Loonschijven_Tranches salariale'!$Q51*0.6),4)*$X$1,2))</f>
        <v>55.29</v>
      </c>
      <c r="E52" s="59">
        <f>IF(ROUND(ROUND(('Loonschijven_Tranches salariale'!$Q51*0.6),4)*$X$1,2)&lt;E$8,E$8,IF('Loonschijven_Tranches salariale'!$Q51&lt;Basisbedragen!$C$24,ROUND(ROUND(('Loonschijven_Tranches salariale'!$Q51*0.6),4)*$X$1,2),ROUND(ROUND((Basisbedragen!$C$24*0.6),4)*$X$1,2)))</f>
        <v>55.29</v>
      </c>
      <c r="F52" s="42"/>
      <c r="G52" s="59">
        <f>IF(ROUND(ROUND(('Loonschijven_Tranches salariale'!$Q51*0.6),4)*$X$1,2)&lt;G$8,G$8,IF('Loonschijven_Tranches salariale'!$Q51&lt;Basisbedragen!$C$23,ROUND(ROUND(('Loonschijven_Tranches salariale'!$Q51*0.6),4)*$X$1,2),ROUND(ROUND((Basisbedragen!$C$23*0.6),4)*$X$1,2)))</f>
        <v>55.29</v>
      </c>
      <c r="H52" s="59">
        <f>IF(ROUND(ROUND(('Loonschijven_Tranches salariale'!$Q51*0.55),4)*$X$1,2)&lt;H$8,H$8,IF('Loonschijven_Tranches salariale'!$Q51&lt;Basisbedragen!$C$27,ROUND(ROUND(('Loonschijven_Tranches salariale'!$Q51*0.55),4)*$X$1,2),ROUND(ROUND((Basisbedragen!$C$27*0.55),4)*$X$1,2)))</f>
        <v>55.29</v>
      </c>
      <c r="I52" s="59">
        <f t="shared" si="10"/>
        <v>55.29</v>
      </c>
      <c r="J52" s="59">
        <f t="shared" si="10"/>
        <v>55.29</v>
      </c>
      <c r="K52" s="59">
        <f t="shared" si="10"/>
        <v>55.29</v>
      </c>
      <c r="L52" s="59">
        <f t="shared" si="10"/>
        <v>55.29</v>
      </c>
      <c r="M52" s="42"/>
      <c r="N52" s="42">
        <f t="shared" si="8"/>
        <v>49.34</v>
      </c>
      <c r="O52" s="59">
        <f t="shared" si="9"/>
        <v>55.29</v>
      </c>
      <c r="P52" s="42"/>
      <c r="Q52" s="59">
        <f>IF(ROUND(ROUND(('Loonschijven_Tranches salariale'!$Q51*0.6),4)*$X$1,2)&lt;Q$8,Q$8,IF('Loonschijven_Tranches salariale'!$Q51&lt;Basisbedragen!$C$23,ROUND(ROUND(('Loonschijven_Tranches salariale'!$Q51*0.6),4)*$X$1,2),ROUND(ROUND((Basisbedragen!$C$23*0.6),4)*$X$1,2)))</f>
        <v>61.35</v>
      </c>
      <c r="R52" s="59">
        <f t="shared" si="11"/>
        <v>60.23</v>
      </c>
      <c r="S52" s="59">
        <f t="shared" si="11"/>
        <v>60.23</v>
      </c>
      <c r="T52" s="59">
        <f t="shared" si="11"/>
        <v>60.23</v>
      </c>
      <c r="U52" s="59">
        <f t="shared" si="11"/>
        <v>60.23</v>
      </c>
      <c r="V52" s="43"/>
      <c r="W52" s="234">
        <f>N52+ROUND(Basisbedragen!$C$57*$X$1,2)</f>
        <v>54.28</v>
      </c>
      <c r="X52" s="59">
        <f>O52+ROUND(Basisbedragen!$C$57*$X$1,2)</f>
        <v>60.23</v>
      </c>
    </row>
    <row r="53" spans="1:24" ht="15" thickBot="1">
      <c r="A53" s="54">
        <f t="shared" si="7"/>
        <v>45</v>
      </c>
      <c r="C53" s="59">
        <f>IF(ROUND(ROUND(('Loonschijven_Tranches salariale'!$Q52*0.65),4)*$X$1,2)&lt;C$8,C$8,ROUND(ROUND(('Loonschijven_Tranches salariale'!$Q52*0.65),4)*$X$1,2))</f>
        <v>55.68</v>
      </c>
      <c r="D53" s="59">
        <f>IF(ROUND(ROUND(('Loonschijven_Tranches salariale'!$Q52*0.6),4)*$X$1,2)&lt;D$8,D$8,ROUND(ROUND(('Loonschijven_Tranches salariale'!$Q52*0.6),4)*$X$1,2))</f>
        <v>55.29</v>
      </c>
      <c r="E53" s="59">
        <f>IF(ROUND(ROUND(('Loonschijven_Tranches salariale'!$Q52*0.6),4)*$X$1,2)&lt;E$8,E$8,IF('Loonschijven_Tranches salariale'!$Q52&lt;Basisbedragen!$C$24,ROUND(ROUND(('Loonschijven_Tranches salariale'!$Q52*0.6),4)*$X$1,2),ROUND(ROUND((Basisbedragen!$C$24*0.6),4)*$X$1,2)))</f>
        <v>55.29</v>
      </c>
      <c r="F53" s="42"/>
      <c r="G53" s="59">
        <f>IF(ROUND(ROUND(('Loonschijven_Tranches salariale'!$Q52*0.6),4)*$X$1,2)&lt;G$8,G$8,IF('Loonschijven_Tranches salariale'!$Q52&lt;Basisbedragen!$C$23,ROUND(ROUND(('Loonschijven_Tranches salariale'!$Q52*0.6),4)*$X$1,2),ROUND(ROUND((Basisbedragen!$C$23*0.6),4)*$X$1,2)))</f>
        <v>55.29</v>
      </c>
      <c r="H53" s="59">
        <f>IF(ROUND(ROUND(('Loonschijven_Tranches salariale'!$Q52*0.55),4)*$X$1,2)&lt;H$8,H$8,IF('Loonschijven_Tranches salariale'!$Q52&lt;Basisbedragen!$C$27,ROUND(ROUND(('Loonschijven_Tranches salariale'!$Q52*0.55),4)*$X$1,2),ROUND(ROUND((Basisbedragen!$C$27*0.55),4)*$X$1,2)))</f>
        <v>55.29</v>
      </c>
      <c r="I53" s="59">
        <f t="shared" si="10"/>
        <v>55.29</v>
      </c>
      <c r="J53" s="59">
        <f t="shared" si="10"/>
        <v>55.29</v>
      </c>
      <c r="K53" s="59">
        <f t="shared" si="10"/>
        <v>55.29</v>
      </c>
      <c r="L53" s="59">
        <f t="shared" si="10"/>
        <v>55.29</v>
      </c>
      <c r="M53" s="42"/>
      <c r="N53" s="42">
        <f t="shared" si="8"/>
        <v>49.34</v>
      </c>
      <c r="O53" s="59">
        <f t="shared" si="9"/>
        <v>55.29</v>
      </c>
      <c r="P53" s="42"/>
      <c r="Q53" s="59">
        <f>IF(ROUND(ROUND(('Loonschijven_Tranches salariale'!$Q52*0.6),4)*$X$1,2)&lt;Q$8,Q$8,IF('Loonschijven_Tranches salariale'!$Q52&lt;Basisbedragen!$C$23,ROUND(ROUND(('Loonschijven_Tranches salariale'!$Q52*0.6),4)*$X$1,2),ROUND(ROUND((Basisbedragen!$C$23*0.6),4)*$X$1,2)))</f>
        <v>61.35</v>
      </c>
      <c r="R53" s="59">
        <f t="shared" si="11"/>
        <v>60.23</v>
      </c>
      <c r="S53" s="59">
        <f t="shared" si="11"/>
        <v>60.23</v>
      </c>
      <c r="T53" s="59">
        <f t="shared" si="11"/>
        <v>60.23</v>
      </c>
      <c r="U53" s="59">
        <f t="shared" si="11"/>
        <v>60.23</v>
      </c>
      <c r="V53" s="43"/>
      <c r="W53" s="234">
        <f>N53+ROUND(Basisbedragen!$C$57*$X$1,2)</f>
        <v>54.28</v>
      </c>
      <c r="X53" s="59">
        <f>O53+ROUND(Basisbedragen!$C$57*$X$1,2)</f>
        <v>60.23</v>
      </c>
    </row>
    <row r="54" spans="1:24" ht="15" thickBot="1">
      <c r="A54" s="54">
        <f t="shared" si="7"/>
        <v>46</v>
      </c>
      <c r="C54" s="59">
        <f>IF(ROUND(ROUND(('Loonschijven_Tranches salariale'!$Q53*0.65),4)*$X$1,2)&lt;C$8,C$8,ROUND(ROUND(('Loonschijven_Tranches salariale'!$Q53*0.65),4)*$X$1,2))</f>
        <v>56.65</v>
      </c>
      <c r="D54" s="59">
        <f>IF(ROUND(ROUND(('Loonschijven_Tranches salariale'!$Q53*0.6),4)*$X$1,2)&lt;D$8,D$8,ROUND(ROUND(('Loonschijven_Tranches salariale'!$Q53*0.6),4)*$X$1,2))</f>
        <v>55.29</v>
      </c>
      <c r="E54" s="59">
        <f>IF(ROUND(ROUND(('Loonschijven_Tranches salariale'!$Q53*0.6),4)*$X$1,2)&lt;E$8,E$8,IF('Loonschijven_Tranches salariale'!$Q53&lt;Basisbedragen!$C$24,ROUND(ROUND(('Loonschijven_Tranches salariale'!$Q53*0.6),4)*$X$1,2),ROUND(ROUND((Basisbedragen!$C$24*0.6),4)*$X$1,2)))</f>
        <v>55.29</v>
      </c>
      <c r="F54" s="42"/>
      <c r="G54" s="59">
        <f>IF(ROUND(ROUND(('Loonschijven_Tranches salariale'!$Q53*0.6),4)*$X$1,2)&lt;G$8,G$8,IF('Loonschijven_Tranches salariale'!$Q53&lt;Basisbedragen!$C$23,ROUND(ROUND(('Loonschijven_Tranches salariale'!$Q53*0.6),4)*$X$1,2),ROUND(ROUND((Basisbedragen!$C$23*0.6),4)*$X$1,2)))</f>
        <v>55.29</v>
      </c>
      <c r="H54" s="59">
        <f>IF(ROUND(ROUND(('Loonschijven_Tranches salariale'!$Q53*0.55),4)*$X$1,2)&lt;H$8,H$8,IF('Loonschijven_Tranches salariale'!$Q53&lt;Basisbedragen!$C$27,ROUND(ROUND(('Loonschijven_Tranches salariale'!$Q53*0.55),4)*$X$1,2),ROUND(ROUND((Basisbedragen!$C$27*0.55),4)*$X$1,2)))</f>
        <v>55.29</v>
      </c>
      <c r="I54" s="59">
        <f t="shared" si="10"/>
        <v>55.29</v>
      </c>
      <c r="J54" s="59">
        <f t="shared" si="10"/>
        <v>55.29</v>
      </c>
      <c r="K54" s="59">
        <f t="shared" si="10"/>
        <v>55.29</v>
      </c>
      <c r="L54" s="59">
        <f t="shared" si="10"/>
        <v>55.29</v>
      </c>
      <c r="M54" s="42"/>
      <c r="N54" s="42">
        <f t="shared" si="8"/>
        <v>49.34</v>
      </c>
      <c r="O54" s="59">
        <f t="shared" si="9"/>
        <v>55.29</v>
      </c>
      <c r="P54" s="42"/>
      <c r="Q54" s="59">
        <f>IF(ROUND(ROUND(('Loonschijven_Tranches salariale'!$Q53*0.6),4)*$X$1,2)&lt;Q$8,Q$8,IF('Loonschijven_Tranches salariale'!$Q53&lt;Basisbedragen!$C$23,ROUND(ROUND(('Loonschijven_Tranches salariale'!$Q53*0.6),4)*$X$1,2),ROUND(ROUND((Basisbedragen!$C$23*0.6),4)*$X$1,2)))</f>
        <v>61.35</v>
      </c>
      <c r="R54" s="59">
        <f t="shared" si="11"/>
        <v>60.23</v>
      </c>
      <c r="S54" s="59">
        <f t="shared" si="11"/>
        <v>60.23</v>
      </c>
      <c r="T54" s="59">
        <f t="shared" si="11"/>
        <v>60.23</v>
      </c>
      <c r="U54" s="59">
        <f t="shared" si="11"/>
        <v>60.23</v>
      </c>
      <c r="V54" s="43"/>
      <c r="W54" s="234">
        <f>N54+ROUND(Basisbedragen!$C$57*$X$1,2)</f>
        <v>54.28</v>
      </c>
      <c r="X54" s="59">
        <f>O54+ROUND(Basisbedragen!$C$57*$X$1,2)</f>
        <v>60.23</v>
      </c>
    </row>
    <row r="55" spans="1:24" ht="15" thickBot="1">
      <c r="A55" s="54">
        <f t="shared" si="7"/>
        <v>47</v>
      </c>
      <c r="C55" s="59">
        <f>IF(ROUND(ROUND(('Loonschijven_Tranches salariale'!$Q54*0.65),4)*$X$1,2)&lt;C$8,C$8,ROUND(ROUND(('Loonschijven_Tranches salariale'!$Q54*0.65),4)*$X$1,2))</f>
        <v>57.63</v>
      </c>
      <c r="D55" s="59">
        <f>IF(ROUND(ROUND(('Loonschijven_Tranches salariale'!$Q54*0.6),4)*$X$1,2)&lt;D$8,D$8,ROUND(ROUND(('Loonschijven_Tranches salariale'!$Q54*0.6),4)*$X$1,2))</f>
        <v>55.29</v>
      </c>
      <c r="E55" s="59">
        <f>IF(ROUND(ROUND(('Loonschijven_Tranches salariale'!$Q54*0.6),4)*$X$1,2)&lt;E$8,E$8,IF('Loonschijven_Tranches salariale'!$Q54&lt;Basisbedragen!$C$24,ROUND(ROUND(('Loonschijven_Tranches salariale'!$Q54*0.6),4)*$X$1,2),ROUND(ROUND((Basisbedragen!$C$24*0.6),4)*$X$1,2)))</f>
        <v>55.29</v>
      </c>
      <c r="F55" s="42"/>
      <c r="G55" s="59">
        <f>IF(ROUND(ROUND(('Loonschijven_Tranches salariale'!$Q54*0.6),4)*$X$1,2)&lt;G$8,G$8,IF('Loonschijven_Tranches salariale'!$Q54&lt;Basisbedragen!$C$23,ROUND(ROUND(('Loonschijven_Tranches salariale'!$Q54*0.6),4)*$X$1,2),ROUND(ROUND((Basisbedragen!$C$23*0.6),4)*$X$1,2)))</f>
        <v>55.29</v>
      </c>
      <c r="H55" s="59">
        <f>IF(ROUND(ROUND(('Loonschijven_Tranches salariale'!$Q54*0.55),4)*$X$1,2)&lt;H$8,H$8,IF('Loonschijven_Tranches salariale'!$Q54&lt;Basisbedragen!$C$27,ROUND(ROUND(('Loonschijven_Tranches salariale'!$Q54*0.55),4)*$X$1,2),ROUND(ROUND((Basisbedragen!$C$27*0.55),4)*$X$1,2)))</f>
        <v>55.29</v>
      </c>
      <c r="I55" s="59">
        <f t="shared" si="10"/>
        <v>55.29</v>
      </c>
      <c r="J55" s="59">
        <f t="shared" si="10"/>
        <v>55.29</v>
      </c>
      <c r="K55" s="59">
        <f t="shared" si="10"/>
        <v>55.29</v>
      </c>
      <c r="L55" s="59">
        <f t="shared" si="10"/>
        <v>55.29</v>
      </c>
      <c r="M55" s="42"/>
      <c r="N55" s="42">
        <f t="shared" si="8"/>
        <v>49.34</v>
      </c>
      <c r="O55" s="59">
        <f t="shared" si="9"/>
        <v>55.29</v>
      </c>
      <c r="P55" s="42"/>
      <c r="Q55" s="59">
        <f>IF(ROUND(ROUND(('Loonschijven_Tranches salariale'!$Q54*0.6),4)*$X$1,2)&lt;Q$8,Q$8,IF('Loonschijven_Tranches salariale'!$Q54&lt;Basisbedragen!$C$23,ROUND(ROUND(('Loonschijven_Tranches salariale'!$Q54*0.6),4)*$X$1,2),ROUND(ROUND((Basisbedragen!$C$23*0.6),4)*$X$1,2)))</f>
        <v>61.35</v>
      </c>
      <c r="R55" s="59">
        <f t="shared" si="11"/>
        <v>60.23</v>
      </c>
      <c r="S55" s="59">
        <f t="shared" si="11"/>
        <v>60.23</v>
      </c>
      <c r="T55" s="59">
        <f t="shared" si="11"/>
        <v>60.23</v>
      </c>
      <c r="U55" s="59">
        <f t="shared" si="11"/>
        <v>60.23</v>
      </c>
      <c r="V55" s="43"/>
      <c r="W55" s="234">
        <f>N55+ROUND(Basisbedragen!$C$57*$X$1,2)</f>
        <v>54.28</v>
      </c>
      <c r="X55" s="59">
        <f>O55+ROUND(Basisbedragen!$C$57*$X$1,2)</f>
        <v>60.23</v>
      </c>
    </row>
    <row r="56" spans="1:24" ht="15" thickBot="1">
      <c r="A56" s="54">
        <f t="shared" si="7"/>
        <v>48</v>
      </c>
      <c r="C56" s="59">
        <f>IF(ROUND(ROUND(('Loonschijven_Tranches salariale'!$Q55*0.65),4)*$X$1,2)&lt;C$8,C$8,ROUND(ROUND(('Loonschijven_Tranches salariale'!$Q55*0.65),4)*$X$1,2))</f>
        <v>58.61</v>
      </c>
      <c r="D56" s="59">
        <f>IF(ROUND(ROUND(('Loonschijven_Tranches salariale'!$Q55*0.6),4)*$X$1,2)&lt;D$8,D$8,ROUND(ROUND(('Loonschijven_Tranches salariale'!$Q55*0.6),4)*$X$1,2))</f>
        <v>55.29</v>
      </c>
      <c r="E56" s="59">
        <f>IF(ROUND(ROUND(('Loonschijven_Tranches salariale'!$Q55*0.6),4)*$X$1,2)&lt;E$8,E$8,IF('Loonschijven_Tranches salariale'!$Q55&lt;Basisbedragen!$C$24,ROUND(ROUND(('Loonschijven_Tranches salariale'!$Q55*0.6),4)*$X$1,2),ROUND(ROUND((Basisbedragen!$C$24*0.6),4)*$X$1,2)))</f>
        <v>55.29</v>
      </c>
      <c r="F56" s="42"/>
      <c r="G56" s="59">
        <f>IF(ROUND(ROUND(('Loonschijven_Tranches salariale'!$Q55*0.6),4)*$X$1,2)&lt;G$8,G$8,IF('Loonschijven_Tranches salariale'!$Q55&lt;Basisbedragen!$C$23,ROUND(ROUND(('Loonschijven_Tranches salariale'!$Q55*0.6),4)*$X$1,2),ROUND(ROUND((Basisbedragen!$C$23*0.6),4)*$X$1,2)))</f>
        <v>55.29</v>
      </c>
      <c r="H56" s="59">
        <f>IF(ROUND(ROUND(('Loonschijven_Tranches salariale'!$Q55*0.55),4)*$X$1,2)&lt;H$8,H$8,IF('Loonschijven_Tranches salariale'!$Q55&lt;Basisbedragen!$C$27,ROUND(ROUND(('Loonschijven_Tranches salariale'!$Q55*0.55),4)*$X$1,2),ROUND(ROUND((Basisbedragen!$C$27*0.55),4)*$X$1,2)))</f>
        <v>55.29</v>
      </c>
      <c r="I56" s="59">
        <f t="shared" si="10"/>
        <v>55.29</v>
      </c>
      <c r="J56" s="59">
        <f t="shared" si="10"/>
        <v>55.29</v>
      </c>
      <c r="K56" s="59">
        <f t="shared" si="10"/>
        <v>55.29</v>
      </c>
      <c r="L56" s="59">
        <f t="shared" si="10"/>
        <v>55.29</v>
      </c>
      <c r="M56" s="42"/>
      <c r="N56" s="42">
        <f t="shared" si="8"/>
        <v>49.34</v>
      </c>
      <c r="O56" s="59">
        <f t="shared" si="9"/>
        <v>55.29</v>
      </c>
      <c r="P56" s="42"/>
      <c r="Q56" s="59">
        <f>IF(ROUND(ROUND(('Loonschijven_Tranches salariale'!$Q55*0.6),4)*$X$1,2)&lt;Q$8,Q$8,IF('Loonschijven_Tranches salariale'!$Q55&lt;Basisbedragen!$C$23,ROUND(ROUND(('Loonschijven_Tranches salariale'!$Q55*0.6),4)*$X$1,2),ROUND(ROUND((Basisbedragen!$C$23*0.6),4)*$X$1,2)))</f>
        <v>61.35</v>
      </c>
      <c r="R56" s="59">
        <f t="shared" si="11"/>
        <v>60.23</v>
      </c>
      <c r="S56" s="59">
        <f t="shared" si="11"/>
        <v>60.23</v>
      </c>
      <c r="T56" s="59">
        <f t="shared" si="11"/>
        <v>60.23</v>
      </c>
      <c r="U56" s="59">
        <f t="shared" si="11"/>
        <v>60.23</v>
      </c>
      <c r="V56" s="43"/>
      <c r="W56" s="234">
        <f>N56+ROUND(Basisbedragen!$C$57*$X$1,2)</f>
        <v>54.28</v>
      </c>
      <c r="X56" s="59">
        <f>O56+ROUND(Basisbedragen!$C$57*$X$1,2)</f>
        <v>60.23</v>
      </c>
    </row>
    <row r="57" spans="1:24" ht="15" thickBot="1">
      <c r="A57" s="54">
        <f t="shared" si="7"/>
        <v>49</v>
      </c>
      <c r="C57" s="59">
        <f>IF(ROUND(ROUND(('Loonschijven_Tranches salariale'!$Q56*0.65),4)*$X$1,2)&lt;C$8,C$8,ROUND(ROUND(('Loonschijven_Tranches salariale'!$Q56*0.65),4)*$X$1,2))</f>
        <v>59.58</v>
      </c>
      <c r="D57" s="59">
        <f>IF(ROUND(ROUND(('Loonschijven_Tranches salariale'!$Q56*0.6),4)*$X$1,2)&lt;D$8,D$8,ROUND(ROUND(('Loonschijven_Tranches salariale'!$Q56*0.6),4)*$X$1,2))</f>
        <v>55.29</v>
      </c>
      <c r="E57" s="59">
        <f>IF(ROUND(ROUND(('Loonschijven_Tranches salariale'!$Q56*0.6),4)*$X$1,2)&lt;E$8,E$8,IF('Loonschijven_Tranches salariale'!$Q56&lt;Basisbedragen!$C$24,ROUND(ROUND(('Loonschijven_Tranches salariale'!$Q56*0.6),4)*$X$1,2),ROUND(ROUND((Basisbedragen!$C$24*0.6),4)*$X$1,2)))</f>
        <v>55.29</v>
      </c>
      <c r="F57" s="42"/>
      <c r="G57" s="59">
        <f>IF(ROUND(ROUND(('Loonschijven_Tranches salariale'!$Q56*0.6),4)*$X$1,2)&lt;G$8,G$8,IF('Loonschijven_Tranches salariale'!$Q56&lt;Basisbedragen!$C$23,ROUND(ROUND(('Loonschijven_Tranches salariale'!$Q56*0.6),4)*$X$1,2),ROUND(ROUND((Basisbedragen!$C$23*0.6),4)*$X$1,2)))</f>
        <v>55.29</v>
      </c>
      <c r="H57" s="59">
        <f>IF(ROUND(ROUND(('Loonschijven_Tranches salariale'!$Q56*0.55),4)*$X$1,2)&lt;H$8,H$8,IF('Loonschijven_Tranches salariale'!$Q56&lt;Basisbedragen!$C$27,ROUND(ROUND(('Loonschijven_Tranches salariale'!$Q56*0.55),4)*$X$1,2),ROUND(ROUND((Basisbedragen!$C$27*0.55),4)*$X$1,2)))</f>
        <v>55.29</v>
      </c>
      <c r="I57" s="59">
        <f t="shared" si="10"/>
        <v>55.29</v>
      </c>
      <c r="J57" s="59">
        <f t="shared" si="10"/>
        <v>55.29</v>
      </c>
      <c r="K57" s="59">
        <f t="shared" si="10"/>
        <v>55.29</v>
      </c>
      <c r="L57" s="59">
        <f t="shared" si="10"/>
        <v>55.29</v>
      </c>
      <c r="M57" s="42"/>
      <c r="N57" s="42">
        <f t="shared" si="8"/>
        <v>49.34</v>
      </c>
      <c r="O57" s="59">
        <f t="shared" si="9"/>
        <v>55.29</v>
      </c>
      <c r="P57" s="42"/>
      <c r="Q57" s="59">
        <f>IF(ROUND(ROUND(('Loonschijven_Tranches salariale'!$Q56*0.6),4)*$X$1,2)&lt;Q$8,Q$8,IF('Loonschijven_Tranches salariale'!$Q56&lt;Basisbedragen!$C$23,ROUND(ROUND(('Loonschijven_Tranches salariale'!$Q56*0.6),4)*$X$1,2),ROUND(ROUND((Basisbedragen!$C$23*0.6),4)*$X$1,2)))</f>
        <v>61.35</v>
      </c>
      <c r="R57" s="59">
        <f t="shared" si="11"/>
        <v>60.23</v>
      </c>
      <c r="S57" s="59">
        <f t="shared" si="11"/>
        <v>60.23</v>
      </c>
      <c r="T57" s="59">
        <f t="shared" si="11"/>
        <v>60.23</v>
      </c>
      <c r="U57" s="59">
        <f t="shared" si="11"/>
        <v>60.23</v>
      </c>
      <c r="V57" s="43"/>
      <c r="W57" s="234">
        <f>N57+ROUND(Basisbedragen!$C$57*$X$1,2)</f>
        <v>54.28</v>
      </c>
      <c r="X57" s="59">
        <f>O57+ROUND(Basisbedragen!$C$57*$X$1,2)</f>
        <v>60.23</v>
      </c>
    </row>
    <row r="58" spans="1:24" ht="15" thickBot="1">
      <c r="A58" s="54">
        <f t="shared" si="7"/>
        <v>50</v>
      </c>
      <c r="C58" s="59">
        <f>IF(ROUND(ROUND(('Loonschijven_Tranches salariale'!$Q57*0.65),4)*$X$1,2)&lt;C$8,C$8,ROUND(ROUND(('Loonschijven_Tranches salariale'!$Q57*0.65),4)*$X$1,2))</f>
        <v>60.56</v>
      </c>
      <c r="D58" s="59">
        <f>IF(ROUND(ROUND(('Loonschijven_Tranches salariale'!$Q57*0.6),4)*$X$1,2)&lt;D$8,D$8,ROUND(ROUND(('Loonschijven_Tranches salariale'!$Q57*0.6),4)*$X$1,2))</f>
        <v>55.9</v>
      </c>
      <c r="E58" s="59">
        <f>IF(ROUND(ROUND(('Loonschijven_Tranches salariale'!$Q57*0.6),4)*$X$1,2)&lt;E$8,E$8,IF('Loonschijven_Tranches salariale'!$Q57&lt;Basisbedragen!$C$24,ROUND(ROUND(('Loonschijven_Tranches salariale'!$Q57*0.6),4)*$X$1,2),ROUND(ROUND((Basisbedragen!$C$24*0.6),4)*$X$1,2)))</f>
        <v>55.9</v>
      </c>
      <c r="F58" s="42"/>
      <c r="G58" s="59">
        <f>IF(ROUND(ROUND(('Loonschijven_Tranches salariale'!$Q57*0.6),4)*$X$1,2)&lt;G$8,G$8,IF('Loonschijven_Tranches salariale'!$Q57&lt;Basisbedragen!$C$23,ROUND(ROUND(('Loonschijven_Tranches salariale'!$Q57*0.6),4)*$X$1,2),ROUND(ROUND((Basisbedragen!$C$23*0.6),4)*$X$1,2)))</f>
        <v>55.9</v>
      </c>
      <c r="H58" s="59">
        <f>IF(ROUND(ROUND(('Loonschijven_Tranches salariale'!$Q57*0.55),4)*$X$1,2)&lt;H$8,H$8,IF('Loonschijven_Tranches salariale'!$Q57&lt;Basisbedragen!$C$27,ROUND(ROUND(('Loonschijven_Tranches salariale'!$Q57*0.55),4)*$X$1,2),ROUND(ROUND((Basisbedragen!$C$27*0.55),4)*$X$1,2)))</f>
        <v>55.29</v>
      </c>
      <c r="I58" s="59">
        <f t="shared" si="10"/>
        <v>55.29</v>
      </c>
      <c r="J58" s="59">
        <f t="shared" si="10"/>
        <v>55.29</v>
      </c>
      <c r="K58" s="59">
        <f t="shared" si="10"/>
        <v>55.29</v>
      </c>
      <c r="L58" s="59">
        <f t="shared" si="10"/>
        <v>55.29</v>
      </c>
      <c r="M58" s="42"/>
      <c r="N58" s="42">
        <f t="shared" si="8"/>
        <v>49.34</v>
      </c>
      <c r="O58" s="59">
        <f t="shared" si="9"/>
        <v>55.29</v>
      </c>
      <c r="P58" s="42"/>
      <c r="Q58" s="59">
        <f>IF(ROUND(ROUND(('Loonschijven_Tranches salariale'!$Q57*0.6),4)*$X$1,2)&lt;Q$8,Q$8,IF('Loonschijven_Tranches salariale'!$Q57&lt;Basisbedragen!$C$23,ROUND(ROUND(('Loonschijven_Tranches salariale'!$Q57*0.6),4)*$X$1,2),ROUND(ROUND((Basisbedragen!$C$23*0.6),4)*$X$1,2)))</f>
        <v>61.35</v>
      </c>
      <c r="R58" s="59">
        <f t="shared" si="11"/>
        <v>60.23</v>
      </c>
      <c r="S58" s="59">
        <f t="shared" si="11"/>
        <v>60.23</v>
      </c>
      <c r="T58" s="59">
        <f t="shared" si="11"/>
        <v>60.23</v>
      </c>
      <c r="U58" s="59">
        <f t="shared" si="11"/>
        <v>60.23</v>
      </c>
      <c r="V58" s="43"/>
      <c r="W58" s="234">
        <f>N58+ROUND(Basisbedragen!$C$57*$X$1,2)</f>
        <v>54.28</v>
      </c>
      <c r="X58" s="59">
        <f>O58+ROUND(Basisbedragen!$C$57*$X$1,2)</f>
        <v>60.23</v>
      </c>
    </row>
    <row r="59" spans="1:24" ht="15" thickBot="1">
      <c r="A59" s="54">
        <f t="shared" si="7"/>
        <v>51</v>
      </c>
      <c r="C59" s="59">
        <f>IF(ROUND(ROUND(('Loonschijven_Tranches salariale'!$Q58*0.65),4)*$X$1,2)&lt;C$8,C$8,ROUND(ROUND(('Loonschijven_Tranches salariale'!$Q58*0.65),4)*$X$1,2))</f>
        <v>61.54</v>
      </c>
      <c r="D59" s="59">
        <f>IF(ROUND(ROUND(('Loonschijven_Tranches salariale'!$Q58*0.6),4)*$X$1,2)&lt;D$8,D$8,ROUND(ROUND(('Loonschijven_Tranches salariale'!$Q58*0.6),4)*$X$1,2))</f>
        <v>56.8</v>
      </c>
      <c r="E59" s="59">
        <f>IF(ROUND(ROUND(('Loonschijven_Tranches salariale'!$Q58*0.6),4)*$X$1,2)&lt;E$8,E$8,IF('Loonschijven_Tranches salariale'!$Q58&lt;Basisbedragen!$C$24,ROUND(ROUND(('Loonschijven_Tranches salariale'!$Q58*0.6),4)*$X$1,2),ROUND(ROUND((Basisbedragen!$C$24*0.6),4)*$X$1,2)))</f>
        <v>56.8</v>
      </c>
      <c r="F59" s="42"/>
      <c r="G59" s="59">
        <f>IF(ROUND(ROUND(('Loonschijven_Tranches salariale'!$Q58*0.6),4)*$X$1,2)&lt;G$8,G$8,IF('Loonschijven_Tranches salariale'!$Q58&lt;Basisbedragen!$C$23,ROUND(ROUND(('Loonschijven_Tranches salariale'!$Q58*0.6),4)*$X$1,2),ROUND(ROUND((Basisbedragen!$C$23*0.6),4)*$X$1,2)))</f>
        <v>56.8</v>
      </c>
      <c r="H59" s="59">
        <f>IF(ROUND(ROUND(('Loonschijven_Tranches salariale'!$Q58*0.55),4)*$X$1,2)&lt;H$8,H$8,IF('Loonschijven_Tranches salariale'!$Q58&lt;Basisbedragen!$C$27,ROUND(ROUND(('Loonschijven_Tranches salariale'!$Q58*0.55),4)*$X$1,2),ROUND(ROUND((Basisbedragen!$C$27*0.55),4)*$X$1,2)))</f>
        <v>55.29</v>
      </c>
      <c r="I59" s="59">
        <f t="shared" si="10"/>
        <v>55.29</v>
      </c>
      <c r="J59" s="59">
        <f t="shared" si="10"/>
        <v>55.29</v>
      </c>
      <c r="K59" s="59">
        <f t="shared" si="10"/>
        <v>55.29</v>
      </c>
      <c r="L59" s="59">
        <f t="shared" si="10"/>
        <v>55.29</v>
      </c>
      <c r="M59" s="42"/>
      <c r="N59" s="42">
        <f t="shared" si="8"/>
        <v>49.34</v>
      </c>
      <c r="O59" s="59">
        <f t="shared" si="9"/>
        <v>55.29</v>
      </c>
      <c r="P59" s="42"/>
      <c r="Q59" s="59">
        <f>IF(ROUND(ROUND(('Loonschijven_Tranches salariale'!$Q58*0.6),4)*$X$1,2)&lt;Q$8,Q$8,IF('Loonschijven_Tranches salariale'!$Q58&lt;Basisbedragen!$C$23,ROUND(ROUND(('Loonschijven_Tranches salariale'!$Q58*0.6),4)*$X$1,2),ROUND(ROUND((Basisbedragen!$C$23*0.6),4)*$X$1,2)))</f>
        <v>61.35</v>
      </c>
      <c r="R59" s="59">
        <f t="shared" si="11"/>
        <v>60.23</v>
      </c>
      <c r="S59" s="59">
        <f t="shared" si="11"/>
        <v>60.23</v>
      </c>
      <c r="T59" s="59">
        <f t="shared" si="11"/>
        <v>60.23</v>
      </c>
      <c r="U59" s="59">
        <f t="shared" si="11"/>
        <v>60.23</v>
      </c>
      <c r="V59" s="43"/>
      <c r="W59" s="234">
        <f>N59+ROUND(Basisbedragen!$C$57*$X$1,2)</f>
        <v>54.28</v>
      </c>
      <c r="X59" s="59">
        <f>O59+ROUND(Basisbedragen!$C$57*$X$1,2)</f>
        <v>60.23</v>
      </c>
    </row>
    <row r="60" spans="1:24" ht="15" thickBot="1">
      <c r="A60" s="54">
        <f t="shared" si="7"/>
        <v>52</v>
      </c>
      <c r="C60" s="59">
        <f>IF(ROUND(ROUND(('Loonschijven_Tranches salariale'!$Q59*0.65),4)*$X$1,2)&lt;C$8,C$8,ROUND(ROUND(('Loonschijven_Tranches salariale'!$Q59*0.65),4)*$X$1,2))</f>
        <v>62.51</v>
      </c>
      <c r="D60" s="59">
        <f>IF(ROUND(ROUND(('Loonschijven_Tranches salariale'!$Q59*0.6),4)*$X$1,2)&lt;D$8,D$8,ROUND(ROUND(('Loonschijven_Tranches salariale'!$Q59*0.6),4)*$X$1,2))</f>
        <v>57.7</v>
      </c>
      <c r="E60" s="59">
        <f>IF(ROUND(ROUND(('Loonschijven_Tranches salariale'!$Q59*0.6),4)*$X$1,2)&lt;E$8,E$8,IF('Loonschijven_Tranches salariale'!$Q59&lt;Basisbedragen!$C$24,ROUND(ROUND(('Loonschijven_Tranches salariale'!$Q59*0.6),4)*$X$1,2),ROUND(ROUND((Basisbedragen!$C$24*0.6),4)*$X$1,2)))</f>
        <v>57.7</v>
      </c>
      <c r="F60" s="42"/>
      <c r="G60" s="59">
        <f>IF(ROUND(ROUND(('Loonschijven_Tranches salariale'!$Q59*0.6),4)*$X$1,2)&lt;G$8,G$8,IF('Loonschijven_Tranches salariale'!$Q59&lt;Basisbedragen!$C$23,ROUND(ROUND(('Loonschijven_Tranches salariale'!$Q59*0.6),4)*$X$1,2),ROUND(ROUND((Basisbedragen!$C$23*0.6),4)*$X$1,2)))</f>
        <v>57.7</v>
      </c>
      <c r="H60" s="59">
        <f>IF(ROUND(ROUND(('Loonschijven_Tranches salariale'!$Q59*0.55),4)*$X$1,2)&lt;H$8,H$8,IF('Loonschijven_Tranches salariale'!$Q59&lt;Basisbedragen!$C$27,ROUND(ROUND(('Loonschijven_Tranches salariale'!$Q59*0.55),4)*$X$1,2),ROUND(ROUND((Basisbedragen!$C$27*0.55),4)*$X$1,2)))</f>
        <v>55.29</v>
      </c>
      <c r="I60" s="59">
        <f t="shared" si="10"/>
        <v>55.29</v>
      </c>
      <c r="J60" s="59">
        <f t="shared" si="10"/>
        <v>55.29</v>
      </c>
      <c r="K60" s="59">
        <f t="shared" si="10"/>
        <v>55.29</v>
      </c>
      <c r="L60" s="59">
        <f t="shared" si="10"/>
        <v>55.29</v>
      </c>
      <c r="M60" s="42"/>
      <c r="N60" s="42">
        <f t="shared" si="8"/>
        <v>49.34</v>
      </c>
      <c r="O60" s="59">
        <f t="shared" si="9"/>
        <v>55.29</v>
      </c>
      <c r="P60" s="42"/>
      <c r="Q60" s="59">
        <f>IF(ROUND(ROUND(('Loonschijven_Tranches salariale'!$Q59*0.6),4)*$X$1,2)&lt;Q$8,Q$8,IF('Loonschijven_Tranches salariale'!$Q59&lt;Basisbedragen!$C$23,ROUND(ROUND(('Loonschijven_Tranches salariale'!$Q59*0.6),4)*$X$1,2),ROUND(ROUND((Basisbedragen!$C$23*0.6),4)*$X$1,2)))</f>
        <v>61.35</v>
      </c>
      <c r="R60" s="59">
        <f t="shared" si="11"/>
        <v>60.23</v>
      </c>
      <c r="S60" s="59">
        <f t="shared" si="11"/>
        <v>60.23</v>
      </c>
      <c r="T60" s="59">
        <f t="shared" si="11"/>
        <v>60.23</v>
      </c>
      <c r="U60" s="59">
        <f t="shared" si="11"/>
        <v>60.23</v>
      </c>
      <c r="V60" s="43"/>
      <c r="W60" s="234">
        <f>N60+ROUND(Basisbedragen!$C$57*$X$1,2)</f>
        <v>54.28</v>
      </c>
      <c r="X60" s="59">
        <f>O60+ROUND(Basisbedragen!$C$57*$X$1,2)</f>
        <v>60.23</v>
      </c>
    </row>
    <row r="61" spans="1:24" ht="15" thickBot="1">
      <c r="A61" s="54">
        <f t="shared" si="7"/>
        <v>53</v>
      </c>
      <c r="C61" s="59">
        <f>IF(ROUND(ROUND(('Loonschijven_Tranches salariale'!$Q60*0.65),4)*$X$1,2)&lt;C$8,C$8,ROUND(ROUND(('Loonschijven_Tranches salariale'!$Q60*0.65),4)*$X$1,2))</f>
        <v>63.49</v>
      </c>
      <c r="D61" s="59">
        <f>IF(ROUND(ROUND(('Loonschijven_Tranches salariale'!$Q60*0.6),4)*$X$1,2)&lt;D$8,D$8,ROUND(ROUND(('Loonschijven_Tranches salariale'!$Q60*0.6),4)*$X$1,2))</f>
        <v>58.61</v>
      </c>
      <c r="E61" s="59">
        <f>IF(ROUND(ROUND(('Loonschijven_Tranches salariale'!$Q60*0.6),4)*$X$1,2)&lt;E$8,E$8,IF('Loonschijven_Tranches salariale'!$Q60&lt;Basisbedragen!$C$24,ROUND(ROUND(('Loonschijven_Tranches salariale'!$Q60*0.6),4)*$X$1,2),ROUND(ROUND((Basisbedragen!$C$24*0.6),4)*$X$1,2)))</f>
        <v>58.61</v>
      </c>
      <c r="F61" s="42"/>
      <c r="G61" s="59">
        <f>IF(ROUND(ROUND(('Loonschijven_Tranches salariale'!$Q60*0.6),4)*$X$1,2)&lt;G$8,G$8,IF('Loonschijven_Tranches salariale'!$Q60&lt;Basisbedragen!$C$23,ROUND(ROUND(('Loonschijven_Tranches salariale'!$Q60*0.6),4)*$X$1,2),ROUND(ROUND((Basisbedragen!$C$23*0.6),4)*$X$1,2)))</f>
        <v>58.61</v>
      </c>
      <c r="H61" s="59">
        <f>IF(ROUND(ROUND(('Loonschijven_Tranches salariale'!$Q60*0.55),4)*$X$1,2)&lt;H$8,H$8,IF('Loonschijven_Tranches salariale'!$Q60&lt;Basisbedragen!$C$27,ROUND(ROUND(('Loonschijven_Tranches salariale'!$Q60*0.55),4)*$X$1,2),ROUND(ROUND((Basisbedragen!$C$27*0.55),4)*$X$1,2)))</f>
        <v>55.29</v>
      </c>
      <c r="I61" s="59">
        <f t="shared" si="10"/>
        <v>55.29</v>
      </c>
      <c r="J61" s="59">
        <f t="shared" si="10"/>
        <v>55.29</v>
      </c>
      <c r="K61" s="59">
        <f t="shared" si="10"/>
        <v>55.29</v>
      </c>
      <c r="L61" s="59">
        <f t="shared" si="10"/>
        <v>55.29</v>
      </c>
      <c r="M61" s="42"/>
      <c r="N61" s="42">
        <f t="shared" si="8"/>
        <v>49.34</v>
      </c>
      <c r="O61" s="59">
        <f t="shared" si="9"/>
        <v>55.29</v>
      </c>
      <c r="P61" s="42"/>
      <c r="Q61" s="59">
        <f>IF(ROUND(ROUND(('Loonschijven_Tranches salariale'!$Q60*0.6),4)*$X$1,2)&lt;Q$8,Q$8,IF('Loonschijven_Tranches salariale'!$Q60&lt;Basisbedragen!$C$23,ROUND(ROUND(('Loonschijven_Tranches salariale'!$Q60*0.6),4)*$X$1,2),ROUND(ROUND((Basisbedragen!$C$23*0.6),4)*$X$1,2)))</f>
        <v>61.35</v>
      </c>
      <c r="R61" s="59">
        <f t="shared" si="11"/>
        <v>60.23</v>
      </c>
      <c r="S61" s="59">
        <f t="shared" si="11"/>
        <v>60.23</v>
      </c>
      <c r="T61" s="59">
        <f t="shared" si="11"/>
        <v>60.23</v>
      </c>
      <c r="U61" s="59">
        <f t="shared" si="11"/>
        <v>60.23</v>
      </c>
      <c r="V61" s="43"/>
      <c r="W61" s="234">
        <f>N61+ROUND(Basisbedragen!$C$57*$X$1,2)</f>
        <v>54.28</v>
      </c>
      <c r="X61" s="59">
        <f>O61+ROUND(Basisbedragen!$C$57*$X$1,2)</f>
        <v>60.23</v>
      </c>
    </row>
    <row r="62" spans="1:24" ht="15" thickBot="1">
      <c r="A62" s="54">
        <f t="shared" si="7"/>
        <v>54</v>
      </c>
      <c r="C62" s="59">
        <f>IF(ROUND(ROUND(('Loonschijven_Tranches salariale'!$Q61*0.65),4)*$X$1,2)&lt;C$8,C$8,ROUND(ROUND(('Loonschijven_Tranches salariale'!$Q61*0.65),4)*$X$1,2))</f>
        <v>63.98</v>
      </c>
      <c r="D62" s="59">
        <f>IF(ROUND(ROUND(('Loonschijven_Tranches salariale'!$Q61*0.6),4)*$X$1,2)&lt;D$8,D$8,ROUND(ROUND(('Loonschijven_Tranches salariale'!$Q61*0.6),4)*$X$1,2))</f>
        <v>59.06</v>
      </c>
      <c r="E62" s="59">
        <f>IF(ROUND(ROUND(('Loonschijven_Tranches salariale'!$Q61*0.6),4)*$X$1,2)&lt;E$8,E$8,IF('Loonschijven_Tranches salariale'!$Q61&lt;Basisbedragen!$C$24,ROUND(ROUND(('Loonschijven_Tranches salariale'!$Q61*0.6),4)*$X$1,2),ROUND(ROUND((Basisbedragen!$C$24*0.6),4)*$X$1,2)))</f>
        <v>59.06</v>
      </c>
      <c r="F62" s="42"/>
      <c r="G62" s="59">
        <f>IF(ROUND(ROUND(('Loonschijven_Tranches salariale'!$Q61*0.6),4)*$X$1,2)&lt;G$8,G$8,IF('Loonschijven_Tranches salariale'!$Q61&lt;Basisbedragen!$C$23,ROUND(ROUND(('Loonschijven_Tranches salariale'!$Q61*0.6),4)*$X$1,2),ROUND(ROUND((Basisbedragen!$C$23*0.6),4)*$X$1,2)))</f>
        <v>59.06</v>
      </c>
      <c r="H62" s="59">
        <f>IF(ROUND(ROUND(('Loonschijven_Tranches salariale'!$Q61*0.55),4)*$X$1,2)&lt;H$8,H$8,IF('Loonschijven_Tranches salariale'!$Q61&lt;Basisbedragen!$C$27,ROUND(ROUND(('Loonschijven_Tranches salariale'!$Q61*0.55),4)*$X$1,2),ROUND(ROUND((Basisbedragen!$C$27*0.55),4)*$X$1,2)))</f>
        <v>55.29</v>
      </c>
      <c r="I62" s="59">
        <f t="shared" si="10"/>
        <v>55.29</v>
      </c>
      <c r="J62" s="59">
        <f t="shared" si="10"/>
        <v>55.29</v>
      </c>
      <c r="K62" s="59">
        <f t="shared" si="10"/>
        <v>55.29</v>
      </c>
      <c r="L62" s="59">
        <f t="shared" si="10"/>
        <v>55.29</v>
      </c>
      <c r="M62" s="42"/>
      <c r="N62" s="42">
        <f t="shared" si="8"/>
        <v>49.34</v>
      </c>
      <c r="O62" s="59">
        <f t="shared" si="9"/>
        <v>55.29</v>
      </c>
      <c r="P62" s="42"/>
      <c r="Q62" s="59">
        <f>IF(ROUND(ROUND(('Loonschijven_Tranches salariale'!$Q61*0.6),4)*$X$1,2)&lt;Q$8,Q$8,IF('Loonschijven_Tranches salariale'!$Q61&lt;Basisbedragen!$C$23,ROUND(ROUND(('Loonschijven_Tranches salariale'!$Q61*0.6),4)*$X$1,2),ROUND(ROUND((Basisbedragen!$C$23*0.6),4)*$X$1,2)))</f>
        <v>61.35</v>
      </c>
      <c r="R62" s="59">
        <f t="shared" si="11"/>
        <v>60.23</v>
      </c>
      <c r="S62" s="59">
        <f t="shared" si="11"/>
        <v>60.23</v>
      </c>
      <c r="T62" s="59">
        <f t="shared" si="11"/>
        <v>60.23</v>
      </c>
      <c r="U62" s="59">
        <f t="shared" si="11"/>
        <v>60.23</v>
      </c>
      <c r="V62" s="43"/>
      <c r="W62" s="234">
        <f>N62+ROUND(Basisbedragen!$C$57*$X$1,2)</f>
        <v>54.28</v>
      </c>
      <c r="X62" s="59">
        <f>O62+ROUND(Basisbedragen!$C$57*$X$1,2)</f>
        <v>60.23</v>
      </c>
    </row>
    <row r="63" spans="1:24" ht="15" thickBot="1">
      <c r="A63" s="54">
        <f t="shared" si="7"/>
        <v>55</v>
      </c>
      <c r="C63" s="59">
        <f>IF(ROUND(ROUND(('Loonschijven_Tranches salariale'!$Q62*0.65),4)*$X$1,2)&lt;C$8,C$8,ROUND(ROUND(('Loonschijven_Tranches salariale'!$Q62*0.65),4)*$X$1,2))</f>
        <v>64.47</v>
      </c>
      <c r="D63" s="59">
        <f>IF(ROUND(ROUND(('Loonschijven_Tranches salariale'!$Q62*0.6),4)*$X$1,2)&lt;D$8,D$8,ROUND(ROUND(('Loonschijven_Tranches salariale'!$Q62*0.6),4)*$X$1,2))</f>
        <v>59.51</v>
      </c>
      <c r="E63" s="59">
        <f>IF(ROUND(ROUND(('Loonschijven_Tranches salariale'!$Q62*0.6),4)*$X$1,2)&lt;E$8,E$8,IF('Loonschijven_Tranches salariale'!$Q62&lt;Basisbedragen!$C$24,ROUND(ROUND(('Loonschijven_Tranches salariale'!$Q62*0.6),4)*$X$1,2),ROUND(ROUND((Basisbedragen!$C$24*0.6),4)*$X$1,2)))</f>
        <v>59.51</v>
      </c>
      <c r="F63" s="42"/>
      <c r="G63" s="59">
        <f>IF(ROUND(ROUND(('Loonschijven_Tranches salariale'!$Q62*0.6),4)*$X$1,2)&lt;G$8,G$8,IF('Loonschijven_Tranches salariale'!$Q62&lt;Basisbedragen!$C$23,ROUND(ROUND(('Loonschijven_Tranches salariale'!$Q62*0.6),4)*$X$1,2),ROUND(ROUND((Basisbedragen!$C$23*0.6),4)*$X$1,2)))</f>
        <v>59.51</v>
      </c>
      <c r="H63" s="59">
        <f>IF(ROUND(ROUND(('Loonschijven_Tranches salariale'!$Q62*0.55),4)*$X$1,2)&lt;H$8,H$8,IF('Loonschijven_Tranches salariale'!$Q62&lt;Basisbedragen!$C$27,ROUND(ROUND(('Loonschijven_Tranches salariale'!$Q62*0.55),4)*$X$1,2),ROUND(ROUND((Basisbedragen!$C$27*0.55),4)*$X$1,2)))</f>
        <v>55.29</v>
      </c>
      <c r="I63" s="59">
        <f t="shared" si="10"/>
        <v>55.29</v>
      </c>
      <c r="J63" s="59">
        <f t="shared" si="10"/>
        <v>55.29</v>
      </c>
      <c r="K63" s="59">
        <f t="shared" si="10"/>
        <v>55.29</v>
      </c>
      <c r="L63" s="59">
        <f t="shared" si="10"/>
        <v>55.29</v>
      </c>
      <c r="M63" s="42"/>
      <c r="N63" s="42">
        <f t="shared" si="8"/>
        <v>49.34</v>
      </c>
      <c r="O63" s="59">
        <f t="shared" si="9"/>
        <v>55.29</v>
      </c>
      <c r="P63" s="42"/>
      <c r="Q63" s="59">
        <f>IF(ROUND(ROUND(('Loonschijven_Tranches salariale'!$Q62*0.6),4)*$X$1,2)&lt;Q$8,Q$8,IF('Loonschijven_Tranches salariale'!$Q62&lt;Basisbedragen!$C$23,ROUND(ROUND(('Loonschijven_Tranches salariale'!$Q62*0.6),4)*$X$1,2),ROUND(ROUND((Basisbedragen!$C$23*0.6),4)*$X$1,2)))</f>
        <v>61.35</v>
      </c>
      <c r="R63" s="59">
        <f t="shared" si="11"/>
        <v>60.23</v>
      </c>
      <c r="S63" s="59">
        <f t="shared" si="11"/>
        <v>60.23</v>
      </c>
      <c r="T63" s="59">
        <f t="shared" si="11"/>
        <v>60.23</v>
      </c>
      <c r="U63" s="59">
        <f t="shared" si="11"/>
        <v>60.23</v>
      </c>
      <c r="V63" s="43"/>
      <c r="W63" s="234">
        <f>N63+ROUND(Basisbedragen!$C$57*$X$1,2)</f>
        <v>54.28</v>
      </c>
      <c r="X63" s="59">
        <f>O63+ROUND(Basisbedragen!$C$57*$X$1,2)</f>
        <v>60.23</v>
      </c>
    </row>
    <row r="64" spans="1:24" ht="15" thickBot="1">
      <c r="A64" s="54">
        <f t="shared" si="7"/>
        <v>56</v>
      </c>
      <c r="C64" s="59">
        <f>IF(ROUND(ROUND(('Loonschijven_Tranches salariale'!$Q63*0.65),4)*$X$1,2)&lt;C$8,C$8,ROUND(ROUND(('Loonschijven_Tranches salariale'!$Q63*0.65),4)*$X$1,2))</f>
        <v>65.44</v>
      </c>
      <c r="D64" s="59">
        <f>IF(ROUND(ROUND(('Loonschijven_Tranches salariale'!$Q63*0.6),4)*$X$1,2)&lt;D$8,D$8,ROUND(ROUND(('Loonschijven_Tranches salariale'!$Q63*0.6),4)*$X$1,2))</f>
        <v>60.41</v>
      </c>
      <c r="E64" s="59">
        <f>IF(ROUND(ROUND(('Loonschijven_Tranches salariale'!$Q63*0.6),4)*$X$1,2)&lt;E$8,E$8,IF('Loonschijven_Tranches salariale'!$Q63&lt;Basisbedragen!$C$24,ROUND(ROUND(('Loonschijven_Tranches salariale'!$Q63*0.6),4)*$X$1,2),ROUND(ROUND((Basisbedragen!$C$24*0.6),4)*$X$1,2)))</f>
        <v>60.41</v>
      </c>
      <c r="F64" s="42"/>
      <c r="G64" s="59">
        <f>IF(ROUND(ROUND(('Loonschijven_Tranches salariale'!$Q63*0.6),4)*$X$1,2)&lt;G$8,G$8,IF('Loonschijven_Tranches salariale'!$Q63&lt;Basisbedragen!$C$23,ROUND(ROUND(('Loonschijven_Tranches salariale'!$Q63*0.6),4)*$X$1,2),ROUND(ROUND((Basisbedragen!$C$23*0.6),4)*$X$1,2)))</f>
        <v>60.41</v>
      </c>
      <c r="H64" s="59">
        <f>IF(ROUND(ROUND(('Loonschijven_Tranches salariale'!$Q63*0.55),4)*$X$1,2)&lt;H$8,H$8,IF('Loonschijven_Tranches salariale'!$Q63&lt;Basisbedragen!$C$27,ROUND(ROUND(('Loonschijven_Tranches salariale'!$Q63*0.55),4)*$X$1,2),ROUND(ROUND((Basisbedragen!$C$27*0.55),4)*$X$1,2)))</f>
        <v>55.38</v>
      </c>
      <c r="I64" s="59">
        <f t="shared" si="10"/>
        <v>55.29</v>
      </c>
      <c r="J64" s="59">
        <f t="shared" si="10"/>
        <v>55.29</v>
      </c>
      <c r="K64" s="59">
        <f t="shared" si="10"/>
        <v>55.29</v>
      </c>
      <c r="L64" s="59">
        <f t="shared" si="10"/>
        <v>55.29</v>
      </c>
      <c r="M64" s="42"/>
      <c r="N64" s="42">
        <f t="shared" si="8"/>
        <v>49.34</v>
      </c>
      <c r="O64" s="59">
        <f t="shared" si="9"/>
        <v>55.29</v>
      </c>
      <c r="P64" s="42"/>
      <c r="Q64" s="59">
        <f>IF(ROUND(ROUND(('Loonschijven_Tranches salariale'!$Q63*0.6),4)*$X$1,2)&lt;Q$8,Q$8,IF('Loonschijven_Tranches salariale'!$Q63&lt;Basisbedragen!$C$23,ROUND(ROUND(('Loonschijven_Tranches salariale'!$Q63*0.6),4)*$X$1,2),ROUND(ROUND((Basisbedragen!$C$23*0.6),4)*$X$1,2)))</f>
        <v>61.35</v>
      </c>
      <c r="R64" s="59">
        <f t="shared" si="11"/>
        <v>60.23</v>
      </c>
      <c r="S64" s="59">
        <f t="shared" si="11"/>
        <v>60.23</v>
      </c>
      <c r="T64" s="59">
        <f t="shared" si="11"/>
        <v>60.23</v>
      </c>
      <c r="U64" s="59">
        <f t="shared" si="11"/>
        <v>60.23</v>
      </c>
      <c r="V64" s="43"/>
      <c r="W64" s="234">
        <f>N64+ROUND(Basisbedragen!$C$57*$X$1,2)</f>
        <v>54.28</v>
      </c>
      <c r="X64" s="59">
        <f>O64+ROUND(Basisbedragen!$C$57*$X$1,2)</f>
        <v>60.23</v>
      </c>
    </row>
    <row r="65" spans="1:24" ht="15" thickBot="1">
      <c r="A65" s="54">
        <f t="shared" si="7"/>
        <v>57</v>
      </c>
      <c r="C65" s="59">
        <f>IF(ROUND(ROUND(('Loonschijven_Tranches salariale'!$Q64*0.65),4)*$X$1,2)&lt;C$8,C$8,ROUND(ROUND(('Loonschijven_Tranches salariale'!$Q64*0.65),4)*$X$1,2))</f>
        <v>66.42</v>
      </c>
      <c r="D65" s="59">
        <f>IF(ROUND(ROUND(('Loonschijven_Tranches salariale'!$Q64*0.6),4)*$X$1,2)&lt;D$8,D$8,ROUND(ROUND(('Loonschijven_Tranches salariale'!$Q64*0.6),4)*$X$1,2))</f>
        <v>61.31</v>
      </c>
      <c r="E65" s="59">
        <f>IF(ROUND(ROUND(('Loonschijven_Tranches salariale'!$Q64*0.6),4)*$X$1,2)&lt;E$8,E$8,IF('Loonschijven_Tranches salariale'!$Q64&lt;Basisbedragen!$C$24,ROUND(ROUND(('Loonschijven_Tranches salariale'!$Q64*0.6),4)*$X$1,2),ROUND(ROUND((Basisbedragen!$C$24*0.6),4)*$X$1,2)))</f>
        <v>61.31</v>
      </c>
      <c r="F65" s="42"/>
      <c r="G65" s="59">
        <f>IF(ROUND(ROUND(('Loonschijven_Tranches salariale'!$Q64*0.6),4)*$X$1,2)&lt;G$8,G$8,IF('Loonschijven_Tranches salariale'!$Q64&lt;Basisbedragen!$C$23,ROUND(ROUND(('Loonschijven_Tranches salariale'!$Q64*0.6),4)*$X$1,2),ROUND(ROUND((Basisbedragen!$C$23*0.6),4)*$X$1,2)))</f>
        <v>61.31</v>
      </c>
      <c r="H65" s="59">
        <f>IF(ROUND(ROUND(('Loonschijven_Tranches salariale'!$Q64*0.55),4)*$X$1,2)&lt;H$8,H$8,IF('Loonschijven_Tranches salariale'!$Q64&lt;Basisbedragen!$C$27,ROUND(ROUND(('Loonschijven_Tranches salariale'!$Q64*0.55),4)*$X$1,2),ROUND(ROUND((Basisbedragen!$C$27*0.55),4)*$X$1,2)))</f>
        <v>56.2</v>
      </c>
      <c r="I65" s="59">
        <f t="shared" si="10"/>
        <v>55.29</v>
      </c>
      <c r="J65" s="59">
        <f t="shared" si="10"/>
        <v>55.29</v>
      </c>
      <c r="K65" s="59">
        <f t="shared" si="10"/>
        <v>55.29</v>
      </c>
      <c r="L65" s="59">
        <f t="shared" si="10"/>
        <v>55.29</v>
      </c>
      <c r="M65" s="42"/>
      <c r="N65" s="42">
        <f t="shared" si="8"/>
        <v>49.34</v>
      </c>
      <c r="O65" s="59">
        <f t="shared" si="9"/>
        <v>55.29</v>
      </c>
      <c r="P65" s="42"/>
      <c r="Q65" s="59">
        <f>IF(ROUND(ROUND(('Loonschijven_Tranches salariale'!$Q64*0.6),4)*$X$1,2)&lt;Q$8,Q$8,IF('Loonschijven_Tranches salariale'!$Q64&lt;Basisbedragen!$C$23,ROUND(ROUND(('Loonschijven_Tranches salariale'!$Q64*0.6),4)*$X$1,2),ROUND(ROUND((Basisbedragen!$C$23*0.6),4)*$X$1,2)))</f>
        <v>61.35</v>
      </c>
      <c r="R65" s="59">
        <f t="shared" si="11"/>
        <v>60.23</v>
      </c>
      <c r="S65" s="59">
        <f t="shared" si="11"/>
        <v>60.23</v>
      </c>
      <c r="T65" s="59">
        <f t="shared" si="11"/>
        <v>60.23</v>
      </c>
      <c r="U65" s="59">
        <f t="shared" si="11"/>
        <v>60.23</v>
      </c>
      <c r="V65" s="43"/>
      <c r="W65" s="234">
        <f>N65+ROUND(Basisbedragen!$C$57*$X$1,2)</f>
        <v>54.28</v>
      </c>
      <c r="X65" s="59">
        <f>O65+ROUND(Basisbedragen!$C$57*$X$1,2)</f>
        <v>60.23</v>
      </c>
    </row>
    <row r="66" spans="1:24" ht="15" thickBot="1">
      <c r="A66" s="54">
        <f t="shared" si="7"/>
        <v>58</v>
      </c>
      <c r="C66" s="59">
        <f>IF(ROUND(ROUND(('Loonschijven_Tranches salariale'!$Q65*0.65),4)*$X$1,2)&lt;C$8,C$8,ROUND(ROUND(('Loonschijven_Tranches salariale'!$Q65*0.65),4)*$X$1,2))</f>
        <v>67.400000000000006</v>
      </c>
      <c r="D66" s="59">
        <f>IF(ROUND(ROUND(('Loonschijven_Tranches salariale'!$Q65*0.6),4)*$X$1,2)&lt;D$8,D$8,ROUND(ROUND(('Loonschijven_Tranches salariale'!$Q65*0.6),4)*$X$1,2))</f>
        <v>62.21</v>
      </c>
      <c r="E66" s="59">
        <f>IF(ROUND(ROUND(('Loonschijven_Tranches salariale'!$Q65*0.6),4)*$X$1,2)&lt;E$8,E$8,IF('Loonschijven_Tranches salariale'!$Q65&lt;Basisbedragen!$C$24,ROUND(ROUND(('Loonschijven_Tranches salariale'!$Q65*0.6),4)*$X$1,2),ROUND(ROUND((Basisbedragen!$C$24*0.6),4)*$X$1,2)))</f>
        <v>62.21</v>
      </c>
      <c r="F66" s="42"/>
      <c r="G66" s="59">
        <f>IF(ROUND(ROUND(('Loonschijven_Tranches salariale'!$Q65*0.6),4)*$X$1,2)&lt;G$8,G$8,IF('Loonschijven_Tranches salariale'!$Q65&lt;Basisbedragen!$C$23,ROUND(ROUND(('Loonschijven_Tranches salariale'!$Q65*0.6),4)*$X$1,2),ROUND(ROUND((Basisbedragen!$C$23*0.6),4)*$X$1,2)))</f>
        <v>62.21</v>
      </c>
      <c r="H66" s="59">
        <f>IF(ROUND(ROUND(('Loonschijven_Tranches salariale'!$Q65*0.55),4)*$X$1,2)&lt;H$8,H$8,IF('Loonschijven_Tranches salariale'!$Q65&lt;Basisbedragen!$C$27,ROUND(ROUND(('Loonschijven_Tranches salariale'!$Q65*0.55),4)*$X$1,2),ROUND(ROUND((Basisbedragen!$C$27*0.55),4)*$X$1,2)))</f>
        <v>57.03</v>
      </c>
      <c r="I66" s="59">
        <f t="shared" si="10"/>
        <v>55.49</v>
      </c>
      <c r="J66" s="59">
        <f t="shared" si="10"/>
        <v>55.29</v>
      </c>
      <c r="K66" s="59">
        <f t="shared" si="10"/>
        <v>55.29</v>
      </c>
      <c r="L66" s="59">
        <f t="shared" si="10"/>
        <v>55.29</v>
      </c>
      <c r="M66" s="42"/>
      <c r="N66" s="42">
        <f t="shared" si="8"/>
        <v>49.34</v>
      </c>
      <c r="O66" s="59">
        <f t="shared" si="9"/>
        <v>55.29</v>
      </c>
      <c r="P66" s="42"/>
      <c r="Q66" s="59">
        <f>IF(ROUND(ROUND(('Loonschijven_Tranches salariale'!$Q65*0.6),4)*$X$1,2)&lt;Q$8,Q$8,IF('Loonschijven_Tranches salariale'!$Q65&lt;Basisbedragen!$C$23,ROUND(ROUND(('Loonschijven_Tranches salariale'!$Q65*0.6),4)*$X$1,2),ROUND(ROUND((Basisbedragen!$C$23*0.6),4)*$X$1,2)))</f>
        <v>62.21</v>
      </c>
      <c r="R66" s="59">
        <f t="shared" si="11"/>
        <v>60.62</v>
      </c>
      <c r="S66" s="59">
        <f t="shared" si="11"/>
        <v>60.23</v>
      </c>
      <c r="T66" s="59">
        <f t="shared" si="11"/>
        <v>60.23</v>
      </c>
      <c r="U66" s="59">
        <f t="shared" si="11"/>
        <v>60.23</v>
      </c>
      <c r="V66" s="43"/>
      <c r="W66" s="234">
        <f>N66+ROUND(Basisbedragen!$C$57*$X$1,2)</f>
        <v>54.28</v>
      </c>
      <c r="X66" s="59">
        <f>O66+ROUND(Basisbedragen!$C$57*$X$1,2)</f>
        <v>60.23</v>
      </c>
    </row>
    <row r="67" spans="1:24" ht="15" thickBot="1">
      <c r="A67" s="54">
        <f t="shared" si="7"/>
        <v>59</v>
      </c>
      <c r="C67" s="59">
        <f>IF(ROUND(ROUND(('Loonschijven_Tranches salariale'!$Q66*0.65),4)*$X$1,2)&lt;C$8,C$8,ROUND(ROUND(('Loonschijven_Tranches salariale'!$Q66*0.65),4)*$X$1,2))</f>
        <v>68.62</v>
      </c>
      <c r="D67" s="59">
        <f>IF(ROUND(ROUND(('Loonschijven_Tranches salariale'!$Q66*0.6),4)*$X$1,2)&lt;D$8,D$8,ROUND(ROUND(('Loonschijven_Tranches salariale'!$Q66*0.6),4)*$X$1,2))</f>
        <v>63.34</v>
      </c>
      <c r="E67" s="59">
        <f>IF(ROUND(ROUND(('Loonschijven_Tranches salariale'!$Q66*0.6),4)*$X$1,2)&lt;E$8,E$8,IF('Loonschijven_Tranches salariale'!$Q66&lt;Basisbedragen!$C$24,ROUND(ROUND(('Loonschijven_Tranches salariale'!$Q66*0.6),4)*$X$1,2),ROUND(ROUND((Basisbedragen!$C$24*0.6),4)*$X$1,2)))</f>
        <v>63.34</v>
      </c>
      <c r="F67" s="42"/>
      <c r="G67" s="59">
        <f>IF(ROUND(ROUND(('Loonschijven_Tranches salariale'!$Q66*0.6),4)*$X$1,2)&lt;G$8,G$8,IF('Loonschijven_Tranches salariale'!$Q66&lt;Basisbedragen!$C$23,ROUND(ROUND(('Loonschijven_Tranches salariale'!$Q66*0.6),4)*$X$1,2),ROUND(ROUND((Basisbedragen!$C$23*0.6),4)*$X$1,2)))</f>
        <v>63.34</v>
      </c>
      <c r="H67" s="59">
        <f>IF(ROUND(ROUND(('Loonschijven_Tranches salariale'!$Q66*0.55),4)*$X$1,2)&lt;H$8,H$8,IF('Loonschijven_Tranches salariale'!$Q66&lt;Basisbedragen!$C$27,ROUND(ROUND(('Loonschijven_Tranches salariale'!$Q66*0.55),4)*$X$1,2),ROUND(ROUND((Basisbedragen!$C$27*0.55),4)*$X$1,2)))</f>
        <v>58.06</v>
      </c>
      <c r="I67" s="59">
        <f t="shared" si="10"/>
        <v>56.32</v>
      </c>
      <c r="J67" s="59">
        <f t="shared" si="10"/>
        <v>55.29</v>
      </c>
      <c r="K67" s="59">
        <f t="shared" si="10"/>
        <v>55.29</v>
      </c>
      <c r="L67" s="59">
        <f t="shared" si="10"/>
        <v>55.29</v>
      </c>
      <c r="M67" s="42"/>
      <c r="N67" s="42">
        <f t="shared" si="8"/>
        <v>49.34</v>
      </c>
      <c r="O67" s="59">
        <f t="shared" si="9"/>
        <v>55.29</v>
      </c>
      <c r="P67" s="42"/>
      <c r="Q67" s="59">
        <f>IF(ROUND(ROUND(('Loonschijven_Tranches salariale'!$Q66*0.6),4)*$X$1,2)&lt;Q$8,Q$8,IF('Loonschijven_Tranches salariale'!$Q66&lt;Basisbedragen!$C$23,ROUND(ROUND(('Loonschijven_Tranches salariale'!$Q66*0.6),4)*$X$1,2),ROUND(ROUND((Basisbedragen!$C$23*0.6),4)*$X$1,2)))</f>
        <v>63.34</v>
      </c>
      <c r="R67" s="59">
        <f t="shared" si="11"/>
        <v>61.53</v>
      </c>
      <c r="S67" s="59">
        <f t="shared" si="11"/>
        <v>60.23</v>
      </c>
      <c r="T67" s="59">
        <f t="shared" si="11"/>
        <v>60.23</v>
      </c>
      <c r="U67" s="59">
        <f t="shared" si="11"/>
        <v>60.23</v>
      </c>
      <c r="V67" s="43"/>
      <c r="W67" s="234">
        <f>N67+ROUND(Basisbedragen!$C$57*$X$1,2)</f>
        <v>54.28</v>
      </c>
      <c r="X67" s="59">
        <f>O67+ROUND(Basisbedragen!$C$57*$X$1,2)</f>
        <v>60.23</v>
      </c>
    </row>
    <row r="68" spans="1:24" ht="15" thickBot="1">
      <c r="A68" s="54">
        <f t="shared" si="7"/>
        <v>60</v>
      </c>
      <c r="C68" s="59">
        <f>IF(ROUND(ROUND(('Loonschijven_Tranches salariale'!$Q67*0.65),4)*$X$1,2)&lt;C$8,C$8,ROUND(ROUND(('Loonschijven_Tranches salariale'!$Q67*0.65),4)*$X$1,2))</f>
        <v>69.47</v>
      </c>
      <c r="D68" s="59">
        <f>IF(ROUND(ROUND(('Loonschijven_Tranches salariale'!$Q67*0.6),4)*$X$1,2)&lt;D$8,D$8,ROUND(ROUND(('Loonschijven_Tranches salariale'!$Q67*0.6),4)*$X$1,2))</f>
        <v>64.13</v>
      </c>
      <c r="E68" s="59">
        <f>IF(ROUND(ROUND(('Loonschijven_Tranches salariale'!$Q67*0.6),4)*$X$1,2)&lt;E$8,E$8,IF('Loonschijven_Tranches salariale'!$Q67&lt;Basisbedragen!$C$24,ROUND(ROUND(('Loonschijven_Tranches salariale'!$Q67*0.6),4)*$X$1,2),ROUND(ROUND((Basisbedragen!$C$24*0.6),4)*$X$1,2)))</f>
        <v>64.13</v>
      </c>
      <c r="F68" s="42"/>
      <c r="G68" s="59">
        <f>IF(ROUND(ROUND(('Loonschijven_Tranches salariale'!$Q67*0.6),4)*$X$1,2)&lt;G$8,G$8,IF('Loonschijven_Tranches salariale'!$Q67&lt;Basisbedragen!$C$23,ROUND(ROUND(('Loonschijven_Tranches salariale'!$Q67*0.6),4)*$X$1,2),ROUND(ROUND((Basisbedragen!$C$23*0.6),4)*$X$1,2)))</f>
        <v>64.13</v>
      </c>
      <c r="H68" s="59">
        <f>IF(ROUND(ROUND(('Loonschijven_Tranches salariale'!$Q67*0.55),4)*$X$1,2)&lt;H$8,H$8,IF('Loonschijven_Tranches salariale'!$Q67&lt;Basisbedragen!$C$27,ROUND(ROUND(('Loonschijven_Tranches salariale'!$Q67*0.55),4)*$X$1,2),ROUND(ROUND((Basisbedragen!$C$27*0.55),4)*$X$1,2)))</f>
        <v>58.79</v>
      </c>
      <c r="I68" s="59">
        <f t="shared" si="10"/>
        <v>56.9</v>
      </c>
      <c r="J68" s="59">
        <f t="shared" si="10"/>
        <v>55.29</v>
      </c>
      <c r="K68" s="59">
        <f t="shared" si="10"/>
        <v>55.29</v>
      </c>
      <c r="L68" s="59">
        <f t="shared" si="10"/>
        <v>55.29</v>
      </c>
      <c r="M68" s="42"/>
      <c r="N68" s="42">
        <f t="shared" si="8"/>
        <v>49.34</v>
      </c>
      <c r="O68" s="59">
        <f t="shared" si="9"/>
        <v>55.29</v>
      </c>
      <c r="P68" s="42"/>
      <c r="Q68" s="59">
        <f>IF(ROUND(ROUND(('Loonschijven_Tranches salariale'!$Q67*0.6),4)*$X$1,2)&lt;Q$8,Q$8,IF('Loonschijven_Tranches salariale'!$Q67&lt;Basisbedragen!$C$23,ROUND(ROUND(('Loonschijven_Tranches salariale'!$Q67*0.6),4)*$X$1,2),ROUND(ROUND((Basisbedragen!$C$23*0.6),4)*$X$1,2)))</f>
        <v>64.13</v>
      </c>
      <c r="R68" s="59">
        <f t="shared" si="11"/>
        <v>62.16</v>
      </c>
      <c r="S68" s="59">
        <f t="shared" si="11"/>
        <v>60.23</v>
      </c>
      <c r="T68" s="59">
        <f t="shared" si="11"/>
        <v>60.23</v>
      </c>
      <c r="U68" s="59">
        <f t="shared" si="11"/>
        <v>60.23</v>
      </c>
      <c r="V68" s="43"/>
      <c r="W68" s="234">
        <f>N68+ROUND(Basisbedragen!$C$57*$X$1,2)</f>
        <v>54.28</v>
      </c>
      <c r="X68" s="59">
        <f>O68+ROUND(Basisbedragen!$C$57*$X$1,2)</f>
        <v>60.23</v>
      </c>
    </row>
    <row r="69" spans="1:24" ht="15" thickBot="1">
      <c r="A69" s="54">
        <f t="shared" si="7"/>
        <v>61</v>
      </c>
      <c r="C69" s="59">
        <f>IF(ROUND(ROUND(('Loonschijven_Tranches salariale'!$Q68*0.65),4)*$X$1,2)&lt;C$8,C$8,ROUND(ROUND(('Loonschijven_Tranches salariale'!$Q68*0.65),4)*$X$1,2))</f>
        <v>70.33</v>
      </c>
      <c r="D69" s="59">
        <f>IF(ROUND(ROUND(('Loonschijven_Tranches salariale'!$Q68*0.6),4)*$X$1,2)&lt;D$8,D$8,ROUND(ROUND(('Loonschijven_Tranches salariale'!$Q68*0.6),4)*$X$1,2))</f>
        <v>64.92</v>
      </c>
      <c r="E69" s="59">
        <f>IF(ROUND(ROUND(('Loonschijven_Tranches salariale'!$Q68*0.6),4)*$X$1,2)&lt;E$8,E$8,IF('Loonschijven_Tranches salariale'!$Q68&lt;Basisbedragen!$C$24,ROUND(ROUND(('Loonschijven_Tranches salariale'!$Q68*0.6),4)*$X$1,2),ROUND(ROUND((Basisbedragen!$C$24*0.6),4)*$X$1,2)))</f>
        <v>64.92</v>
      </c>
      <c r="F69" s="42"/>
      <c r="G69" s="59">
        <f>IF(ROUND(ROUND(('Loonschijven_Tranches salariale'!$Q68*0.6),4)*$X$1,2)&lt;G$8,G$8,IF('Loonschijven_Tranches salariale'!$Q68&lt;Basisbedragen!$C$23,ROUND(ROUND(('Loonschijven_Tranches salariale'!$Q68*0.6),4)*$X$1,2),ROUND(ROUND((Basisbedragen!$C$23*0.6),4)*$X$1,2)))</f>
        <v>64.92</v>
      </c>
      <c r="H69" s="59">
        <f>IF(ROUND(ROUND(('Loonschijven_Tranches salariale'!$Q68*0.55),4)*$X$1,2)&lt;H$8,H$8,IF('Loonschijven_Tranches salariale'!$Q68&lt;Basisbedragen!$C$27,ROUND(ROUND(('Loonschijven_Tranches salariale'!$Q68*0.55),4)*$X$1,2),ROUND(ROUND((Basisbedragen!$C$27*0.55),4)*$X$1,2)))</f>
        <v>59.51</v>
      </c>
      <c r="I69" s="59">
        <f t="shared" si="10"/>
        <v>57.48</v>
      </c>
      <c r="J69" s="59">
        <f t="shared" si="10"/>
        <v>55.44</v>
      </c>
      <c r="K69" s="59">
        <f t="shared" si="10"/>
        <v>55.29</v>
      </c>
      <c r="L69" s="59">
        <f t="shared" si="10"/>
        <v>55.29</v>
      </c>
      <c r="M69" s="42"/>
      <c r="N69" s="42">
        <f t="shared" si="8"/>
        <v>49.34</v>
      </c>
      <c r="O69" s="59">
        <f t="shared" si="9"/>
        <v>55.29</v>
      </c>
      <c r="P69" s="42"/>
      <c r="Q69" s="59">
        <f>IF(ROUND(ROUND(('Loonschijven_Tranches salariale'!$Q68*0.6),4)*$X$1,2)&lt;Q$8,Q$8,IF('Loonschijven_Tranches salariale'!$Q68&lt;Basisbedragen!$C$23,ROUND(ROUND(('Loonschijven_Tranches salariale'!$Q68*0.6),4)*$X$1,2),ROUND(ROUND((Basisbedragen!$C$23*0.6),4)*$X$1,2)))</f>
        <v>64.92</v>
      </c>
      <c r="R69" s="59">
        <f t="shared" si="11"/>
        <v>62.79</v>
      </c>
      <c r="S69" s="59">
        <f t="shared" si="11"/>
        <v>60.66</v>
      </c>
      <c r="T69" s="59">
        <f t="shared" si="11"/>
        <v>60.23</v>
      </c>
      <c r="U69" s="59">
        <f t="shared" si="11"/>
        <v>60.23</v>
      </c>
      <c r="V69" s="43"/>
      <c r="W69" s="234">
        <f>N69+ROUND(Basisbedragen!$C$57*$X$1,2)</f>
        <v>54.28</v>
      </c>
      <c r="X69" s="59">
        <f>O69+ROUND(Basisbedragen!$C$57*$X$1,2)</f>
        <v>60.23</v>
      </c>
    </row>
    <row r="70" spans="1:24" ht="15" thickBot="1">
      <c r="A70" s="54">
        <f t="shared" si="7"/>
        <v>62</v>
      </c>
      <c r="C70" s="59">
        <f>IF(ROUND(ROUND(('Loonschijven_Tranches salariale'!$Q69*0.65),4)*$X$1,2)&lt;C$8,C$8,ROUND(ROUND(('Loonschijven_Tranches salariale'!$Q69*0.65),4)*$X$1,2))</f>
        <v>71.3</v>
      </c>
      <c r="D70" s="59">
        <f>IF(ROUND(ROUND(('Loonschijven_Tranches salariale'!$Q69*0.6),4)*$X$1,2)&lt;D$8,D$8,ROUND(ROUND(('Loonschijven_Tranches salariale'!$Q69*0.6),4)*$X$1,2))</f>
        <v>65.819999999999993</v>
      </c>
      <c r="E70" s="59">
        <f>IF(ROUND(ROUND(('Loonschijven_Tranches salariale'!$Q69*0.6),4)*$X$1,2)&lt;E$8,E$8,IF('Loonschijven_Tranches salariale'!$Q69&lt;Basisbedragen!$C$24,ROUND(ROUND(('Loonschijven_Tranches salariale'!$Q69*0.6),4)*$X$1,2),ROUND(ROUND((Basisbedragen!$C$24*0.6),4)*$X$1,2)))</f>
        <v>65.819999999999993</v>
      </c>
      <c r="F70" s="42"/>
      <c r="G70" s="59">
        <f>IF(ROUND(ROUND(('Loonschijven_Tranches salariale'!$Q69*0.6),4)*$X$1,2)&lt;G$8,G$8,IF('Loonschijven_Tranches salariale'!$Q69&lt;Basisbedragen!$C$23,ROUND(ROUND(('Loonschijven_Tranches salariale'!$Q69*0.6),4)*$X$1,2),ROUND(ROUND((Basisbedragen!$C$23*0.6),4)*$X$1,2)))</f>
        <v>65.819999999999993</v>
      </c>
      <c r="H70" s="59">
        <f>IF(ROUND(ROUND(('Loonschijven_Tranches salariale'!$Q69*0.55),4)*$X$1,2)&lt;H$8,H$8,IF('Loonschijven_Tranches salariale'!$Q69&lt;Basisbedragen!$C$27,ROUND(ROUND(('Loonschijven_Tranches salariale'!$Q69*0.55),4)*$X$1,2),ROUND(ROUND((Basisbedragen!$C$27*0.55),4)*$X$1,2)))</f>
        <v>60.33</v>
      </c>
      <c r="I70" s="59">
        <f t="shared" si="10"/>
        <v>58.13</v>
      </c>
      <c r="J70" s="59">
        <f t="shared" si="10"/>
        <v>55.93</v>
      </c>
      <c r="K70" s="59">
        <f t="shared" si="10"/>
        <v>55.29</v>
      </c>
      <c r="L70" s="59">
        <f t="shared" si="10"/>
        <v>55.29</v>
      </c>
      <c r="M70" s="42"/>
      <c r="N70" s="42">
        <f t="shared" si="8"/>
        <v>49.34</v>
      </c>
      <c r="O70" s="59">
        <f t="shared" si="9"/>
        <v>55.29</v>
      </c>
      <c r="P70" s="42"/>
      <c r="Q70" s="59">
        <f>IF(ROUND(ROUND(('Loonschijven_Tranches salariale'!$Q69*0.6),4)*$X$1,2)&lt;Q$8,Q$8,IF('Loonschijven_Tranches salariale'!$Q69&lt;Basisbedragen!$C$23,ROUND(ROUND(('Loonschijven_Tranches salariale'!$Q69*0.6),4)*$X$1,2),ROUND(ROUND((Basisbedragen!$C$23*0.6),4)*$X$1,2)))</f>
        <v>65.819999999999993</v>
      </c>
      <c r="R70" s="59">
        <f t="shared" si="11"/>
        <v>63.51</v>
      </c>
      <c r="S70" s="59">
        <f t="shared" si="11"/>
        <v>61.2</v>
      </c>
      <c r="T70" s="59">
        <f t="shared" si="11"/>
        <v>60.23</v>
      </c>
      <c r="U70" s="59">
        <f t="shared" si="11"/>
        <v>60.23</v>
      </c>
      <c r="V70" s="43"/>
      <c r="W70" s="234">
        <f>N70+ROUND(Basisbedragen!$C$57*$X$1,2)</f>
        <v>54.28</v>
      </c>
      <c r="X70" s="59">
        <f>O70+ROUND(Basisbedragen!$C$57*$X$1,2)</f>
        <v>60.23</v>
      </c>
    </row>
    <row r="71" spans="1:24" ht="15" thickBot="1">
      <c r="A71" s="54">
        <f t="shared" si="7"/>
        <v>63</v>
      </c>
      <c r="C71" s="59">
        <f>IF(ROUND(ROUND(('Loonschijven_Tranches salariale'!$Q70*0.65),4)*$X$1,2)&lt;C$8,C$8,ROUND(ROUND(('Loonschijven_Tranches salariale'!$Q70*0.65),4)*$X$1,2))</f>
        <v>72.28</v>
      </c>
      <c r="D71" s="59">
        <f>IF(ROUND(ROUND(('Loonschijven_Tranches salariale'!$Q70*0.6),4)*$X$1,2)&lt;D$8,D$8,ROUND(ROUND(('Loonschijven_Tranches salariale'!$Q70*0.6),4)*$X$1,2))</f>
        <v>66.72</v>
      </c>
      <c r="E71" s="59">
        <f>IF(ROUND(ROUND(('Loonschijven_Tranches salariale'!$Q70*0.6),4)*$X$1,2)&lt;E$8,E$8,IF('Loonschijven_Tranches salariale'!$Q70&lt;Basisbedragen!$C$24,ROUND(ROUND(('Loonschijven_Tranches salariale'!$Q70*0.6),4)*$X$1,2),ROUND(ROUND((Basisbedragen!$C$24*0.6),4)*$X$1,2)))</f>
        <v>66.72</v>
      </c>
      <c r="F71" s="42"/>
      <c r="G71" s="59">
        <f>IF(ROUND(ROUND(('Loonschijven_Tranches salariale'!$Q70*0.6),4)*$X$1,2)&lt;G$8,G$8,IF('Loonschijven_Tranches salariale'!$Q70&lt;Basisbedragen!$C$23,ROUND(ROUND(('Loonschijven_Tranches salariale'!$Q70*0.6),4)*$X$1,2),ROUND(ROUND((Basisbedragen!$C$23*0.6),4)*$X$1,2)))</f>
        <v>66.72</v>
      </c>
      <c r="H71" s="59">
        <f>IF(ROUND(ROUND(('Loonschijven_Tranches salariale'!$Q70*0.55),4)*$X$1,2)&lt;H$8,H$8,IF('Loonschijven_Tranches salariale'!$Q70&lt;Basisbedragen!$C$27,ROUND(ROUND(('Loonschijven_Tranches salariale'!$Q70*0.55),4)*$X$1,2),ROUND(ROUND((Basisbedragen!$C$27*0.55),4)*$X$1,2)))</f>
        <v>61.16</v>
      </c>
      <c r="I71" s="59">
        <f t="shared" si="10"/>
        <v>58.8</v>
      </c>
      <c r="J71" s="59">
        <f t="shared" si="10"/>
        <v>56.43</v>
      </c>
      <c r="K71" s="59">
        <f t="shared" si="10"/>
        <v>55.29</v>
      </c>
      <c r="L71" s="59">
        <f t="shared" si="10"/>
        <v>55.29</v>
      </c>
      <c r="M71" s="42"/>
      <c r="N71" s="42">
        <f t="shared" si="8"/>
        <v>49.34</v>
      </c>
      <c r="O71" s="59">
        <f t="shared" si="9"/>
        <v>55.29</v>
      </c>
      <c r="P71" s="42"/>
      <c r="Q71" s="59">
        <f>IF(ROUND(ROUND(('Loonschijven_Tranches salariale'!$Q70*0.6),4)*$X$1,2)&lt;Q$8,Q$8,IF('Loonschijven_Tranches salariale'!$Q70&lt;Basisbedragen!$C$23,ROUND(ROUND(('Loonschijven_Tranches salariale'!$Q70*0.6),4)*$X$1,2),ROUND(ROUND((Basisbedragen!$C$23*0.6),4)*$X$1,2)))</f>
        <v>66.72</v>
      </c>
      <c r="R71" s="59">
        <f t="shared" si="11"/>
        <v>64.23</v>
      </c>
      <c r="S71" s="59">
        <f t="shared" si="11"/>
        <v>61.74</v>
      </c>
      <c r="T71" s="59">
        <f t="shared" si="11"/>
        <v>60.23</v>
      </c>
      <c r="U71" s="59">
        <f t="shared" si="11"/>
        <v>60.23</v>
      </c>
      <c r="V71" s="43"/>
      <c r="W71" s="234">
        <f>N71+ROUND(Basisbedragen!$C$57*$X$1,2)</f>
        <v>54.28</v>
      </c>
      <c r="X71" s="59">
        <f>O71+ROUND(Basisbedragen!$C$57*$X$1,2)</f>
        <v>60.23</v>
      </c>
    </row>
    <row r="72" spans="1:24" ht="15" thickBot="1">
      <c r="A72" s="54">
        <f t="shared" si="7"/>
        <v>64</v>
      </c>
      <c r="C72" s="59">
        <f>IF(ROUND(ROUND(('Loonschijven_Tranches salariale'!$Q71*0.65),4)*$X$1,2)&lt;C$8,C$8,ROUND(ROUND(('Loonschijven_Tranches salariale'!$Q71*0.65),4)*$X$1,2))</f>
        <v>73.430000000000007</v>
      </c>
      <c r="D72" s="59">
        <f>IF(ROUND(ROUND(('Loonschijven_Tranches salariale'!$Q71*0.6),4)*$X$1,2)&lt;D$8,D$8,ROUND(ROUND(('Loonschijven_Tranches salariale'!$Q71*0.6),4)*$X$1,2))</f>
        <v>67.78</v>
      </c>
      <c r="E72" s="59">
        <f>IF(ROUND(ROUND(('Loonschijven_Tranches salariale'!$Q71*0.6),4)*$X$1,2)&lt;E$8,E$8,IF('Loonschijven_Tranches salariale'!$Q71&lt;Basisbedragen!$C$24,ROUND(ROUND(('Loonschijven_Tranches salariale'!$Q71*0.6),4)*$X$1,2),ROUND(ROUND((Basisbedragen!$C$24*0.6),4)*$X$1,2)))</f>
        <v>67.78</v>
      </c>
      <c r="F72" s="42"/>
      <c r="G72" s="59">
        <f>IF(ROUND(ROUND(('Loonschijven_Tranches salariale'!$Q71*0.6),4)*$X$1,2)&lt;G$8,G$8,IF('Loonschijven_Tranches salariale'!$Q71&lt;Basisbedragen!$C$23,ROUND(ROUND(('Loonschijven_Tranches salariale'!$Q71*0.6),4)*$X$1,2),ROUND(ROUND((Basisbedragen!$C$23*0.6),4)*$X$1,2)))</f>
        <v>67.78</v>
      </c>
      <c r="H72" s="59">
        <f>IF(ROUND(ROUND(('Loonschijven_Tranches salariale'!$Q71*0.55),4)*$X$1,2)&lt;H$8,H$8,IF('Loonschijven_Tranches salariale'!$Q71&lt;Basisbedragen!$C$27,ROUND(ROUND(('Loonschijven_Tranches salariale'!$Q71*0.55),4)*$X$1,2),ROUND(ROUND((Basisbedragen!$C$27*0.55),4)*$X$1,2)))</f>
        <v>61.86</v>
      </c>
      <c r="I72" s="59">
        <f t="shared" si="10"/>
        <v>59.36</v>
      </c>
      <c r="J72" s="59">
        <f t="shared" si="10"/>
        <v>56.85</v>
      </c>
      <c r="K72" s="59">
        <f t="shared" si="10"/>
        <v>55.29</v>
      </c>
      <c r="L72" s="59">
        <f t="shared" si="10"/>
        <v>55.29</v>
      </c>
      <c r="M72" s="42"/>
      <c r="N72" s="42">
        <f t="shared" si="8"/>
        <v>49.34</v>
      </c>
      <c r="O72" s="59">
        <f t="shared" si="9"/>
        <v>55.29</v>
      </c>
      <c r="P72" s="42"/>
      <c r="Q72" s="59">
        <f>IF(ROUND(ROUND(('Loonschijven_Tranches salariale'!$Q71*0.6),4)*$X$1,2)&lt;Q$8,Q$8,IF('Loonschijven_Tranches salariale'!$Q71&lt;Basisbedragen!$C$23,ROUND(ROUND(('Loonschijven_Tranches salariale'!$Q71*0.6),4)*$X$1,2),ROUND(ROUND((Basisbedragen!$C$23*0.6),4)*$X$1,2)))</f>
        <v>67.78</v>
      </c>
      <c r="R72" s="59">
        <f>IF(ROUND($Q72-(R$6*($Q72-$W72)/5),2)&lt;$X72,$X72,ROUND($Q72-(R$6*($Q72-$W72)/5),2))</f>
        <v>65.08</v>
      </c>
      <c r="S72" s="59">
        <f t="shared" si="11"/>
        <v>62.38</v>
      </c>
      <c r="T72" s="59">
        <f t="shared" si="11"/>
        <v>60.23</v>
      </c>
      <c r="U72" s="59">
        <f t="shared" si="11"/>
        <v>60.23</v>
      </c>
      <c r="V72" s="43"/>
      <c r="W72" s="234">
        <f>N72+ROUND(Basisbedragen!$C$57*$X$1,2)</f>
        <v>54.28</v>
      </c>
      <c r="X72" s="59">
        <f>O72+ROUND(Basisbedragen!$C$57*$X$1,2)</f>
        <v>60.23</v>
      </c>
    </row>
    <row r="73" spans="1:24" ht="15" thickBot="1">
      <c r="A73" s="54">
        <f t="shared" si="7"/>
        <v>65</v>
      </c>
      <c r="C73" s="59">
        <f>IF(ROUND(ROUND(('Loonschijven_Tranches salariale'!$Q72*0.65),4)*$X$1,2)&lt;C$8,C$8,ROUND(ROUND(('Loonschijven_Tranches salariale'!$Q72*0.65),4)*$X$1,2))</f>
        <v>74.34</v>
      </c>
      <c r="D73" s="59">
        <f>IF(ROUND(ROUND(('Loonschijven_Tranches salariale'!$Q72*0.6),4)*$X$1,2)&lt;D$8,D$8,ROUND(ROUND(('Loonschijven_Tranches salariale'!$Q72*0.6),4)*$X$1,2))</f>
        <v>68.63</v>
      </c>
      <c r="E73" s="59">
        <f>IF(ROUND(ROUND(('Loonschijven_Tranches salariale'!$Q72*0.6),4)*$X$1,2)&lt;E$8,E$8,IF('Loonschijven_Tranches salariale'!$Q72&lt;Basisbedragen!$C$24,ROUND(ROUND(('Loonschijven_Tranches salariale'!$Q72*0.6),4)*$X$1,2),ROUND(ROUND((Basisbedragen!$C$24*0.6),4)*$X$1,2)))</f>
        <v>68.63</v>
      </c>
      <c r="F73" s="42"/>
      <c r="G73" s="59">
        <f>IF(ROUND(ROUND(('Loonschijven_Tranches salariale'!$Q72*0.6),4)*$X$1,2)&lt;G$8,G$8,IF('Loonschijven_Tranches salariale'!$Q72&lt;Basisbedragen!$C$23,ROUND(ROUND(('Loonschijven_Tranches salariale'!$Q72*0.6),4)*$X$1,2),ROUND(ROUND((Basisbedragen!$C$23*0.6),4)*$X$1,2)))</f>
        <v>68.63</v>
      </c>
      <c r="H73" s="59">
        <f>IF(ROUND(ROUND(('Loonschijven_Tranches salariale'!$Q72*0.55),4)*$X$1,2)&lt;H$8,H$8,IF('Loonschijven_Tranches salariale'!$Q72&lt;Basisbedragen!$C$27,ROUND(ROUND(('Loonschijven_Tranches salariale'!$Q72*0.55),4)*$X$1,2),ROUND(ROUND((Basisbedragen!$C$27*0.55),4)*$X$1,2)))</f>
        <v>61.86</v>
      </c>
      <c r="I73" s="59">
        <f t="shared" si="10"/>
        <v>59.36</v>
      </c>
      <c r="J73" s="59">
        <f t="shared" si="10"/>
        <v>56.85</v>
      </c>
      <c r="K73" s="59">
        <f t="shared" si="10"/>
        <v>55.29</v>
      </c>
      <c r="L73" s="59">
        <f t="shared" si="10"/>
        <v>55.29</v>
      </c>
      <c r="M73" s="42"/>
      <c r="N73" s="42">
        <f t="shared" si="8"/>
        <v>49.34</v>
      </c>
      <c r="O73" s="59">
        <f t="shared" ref="O73:O87" si="12">$C$8</f>
        <v>55.29</v>
      </c>
      <c r="P73" s="42"/>
      <c r="Q73" s="59">
        <f>IF(ROUND(ROUND(('Loonschijven_Tranches salariale'!$Q72*0.6),4)*$X$1,2)&lt;Q$8,Q$8,IF('Loonschijven_Tranches salariale'!$Q72&lt;Basisbedragen!$C$23,ROUND(ROUND(('Loonschijven_Tranches salariale'!$Q72*0.6),4)*$X$1,2),ROUND(ROUND((Basisbedragen!$C$23*0.6),4)*$X$1,2)))</f>
        <v>68.63</v>
      </c>
      <c r="R73" s="59">
        <f t="shared" si="11"/>
        <v>65.760000000000005</v>
      </c>
      <c r="S73" s="59">
        <f t="shared" si="11"/>
        <v>62.89</v>
      </c>
      <c r="T73" s="59">
        <f t="shared" si="11"/>
        <v>60.23</v>
      </c>
      <c r="U73" s="59">
        <f t="shared" si="11"/>
        <v>60.23</v>
      </c>
      <c r="V73" s="43"/>
      <c r="W73" s="234">
        <f>N73+ROUND(Basisbedragen!$C$57*$X$1,2)</f>
        <v>54.28</v>
      </c>
      <c r="X73" s="59">
        <f>O73+ROUND(Basisbedragen!$C$57*$X$1,2)</f>
        <v>60.23</v>
      </c>
    </row>
    <row r="74" spans="1:24" ht="15" thickBot="1">
      <c r="A74" s="54">
        <f t="shared" si="7"/>
        <v>66</v>
      </c>
      <c r="C74" s="59">
        <f>IF(ROUND(ROUND(('Loonschijven_Tranches salariale'!$Q73*0.65),4)*$X$1,2)&lt;C$8,C$8,ROUND(ROUND(('Loonschijven_Tranches salariale'!$Q73*0.65),4)*$X$1,2))</f>
        <v>75.209999999999994</v>
      </c>
      <c r="D74" s="59">
        <f>IF(ROUND(ROUND(('Loonschijven_Tranches salariale'!$Q73*0.6),4)*$X$1,2)&lt;D$8,D$8,ROUND(ROUND(('Loonschijven_Tranches salariale'!$Q73*0.6),4)*$X$1,2))</f>
        <v>69.430000000000007</v>
      </c>
      <c r="E74" s="59">
        <f>IF(ROUND(ROUND(('Loonschijven_Tranches salariale'!$Q73*0.6),4)*$X$1,2)&lt;E$8,E$8,IF('Loonschijven_Tranches salariale'!$Q73&lt;Basisbedragen!$C$24,ROUND(ROUND(('Loonschijven_Tranches salariale'!$Q73*0.6),4)*$X$1,2),ROUND(ROUND((Basisbedragen!$C$24*0.6),4)*$X$1,2)))</f>
        <v>69.430000000000007</v>
      </c>
      <c r="F74" s="42"/>
      <c r="G74" s="59">
        <f>IF(ROUND(ROUND(('Loonschijven_Tranches salariale'!$Q73*0.6),4)*$X$1,2)&lt;G$8,G$8,IF('Loonschijven_Tranches salariale'!$Q73&lt;Basisbedragen!$C$23,ROUND(ROUND(('Loonschijven_Tranches salariale'!$Q73*0.6),4)*$X$1,2),ROUND(ROUND((Basisbedragen!$C$23*0.6),4)*$X$1,2)))</f>
        <v>68.989999999999995</v>
      </c>
      <c r="H74" s="59">
        <f>IF(ROUND(ROUND(('Loonschijven_Tranches salariale'!$Q73*0.55),4)*$X$1,2)&lt;H$8,H$8,IF('Loonschijven_Tranches salariale'!$Q73&lt;Basisbedragen!$C$27,ROUND(ROUND(('Loonschijven_Tranches salariale'!$Q73*0.55),4)*$X$1,2),ROUND(ROUND((Basisbedragen!$C$27*0.55),4)*$X$1,2)))</f>
        <v>61.86</v>
      </c>
      <c r="I74" s="59">
        <f t="shared" si="10"/>
        <v>59.36</v>
      </c>
      <c r="J74" s="59">
        <f t="shared" si="10"/>
        <v>56.85</v>
      </c>
      <c r="K74" s="59">
        <f t="shared" si="10"/>
        <v>55.29</v>
      </c>
      <c r="L74" s="59">
        <f t="shared" si="10"/>
        <v>55.29</v>
      </c>
      <c r="M74" s="42"/>
      <c r="N74" s="42">
        <f t="shared" si="8"/>
        <v>49.34</v>
      </c>
      <c r="O74" s="59">
        <f t="shared" si="12"/>
        <v>55.29</v>
      </c>
      <c r="P74" s="42"/>
      <c r="Q74" s="59">
        <f>IF(ROUND(ROUND(('Loonschijven_Tranches salariale'!$Q73*0.6),4)*$X$1,2)&lt;Q$8,Q$8,IF('Loonschijven_Tranches salariale'!$Q73&lt;Basisbedragen!$C$23,ROUND(ROUND(('Loonschijven_Tranches salariale'!$Q73*0.6),4)*$X$1,2),ROUND(ROUND((Basisbedragen!$C$23*0.6),4)*$X$1,2)))</f>
        <v>68.989999999999995</v>
      </c>
      <c r="R74" s="59">
        <f t="shared" si="11"/>
        <v>66.05</v>
      </c>
      <c r="S74" s="59">
        <f t="shared" si="11"/>
        <v>63.11</v>
      </c>
      <c r="T74" s="59">
        <f t="shared" si="11"/>
        <v>60.23</v>
      </c>
      <c r="U74" s="59">
        <f t="shared" si="11"/>
        <v>60.23</v>
      </c>
      <c r="V74" s="43"/>
      <c r="W74" s="234">
        <f>N74+ROUND(Basisbedragen!$C$57*$X$1,2)</f>
        <v>54.28</v>
      </c>
      <c r="X74" s="59">
        <f>O74+ROUND(Basisbedragen!$C$57*$X$1,2)</f>
        <v>60.23</v>
      </c>
    </row>
    <row r="75" spans="1:24" ht="15" thickBot="1">
      <c r="A75" s="54">
        <f t="shared" ref="A75:A82" si="13">A74+1</f>
        <v>67</v>
      </c>
      <c r="C75" s="59">
        <f>IF(ROUND(ROUND(('Loonschijven_Tranches salariale'!$Q74*0.65),4)*$X$1,2)&lt;C$8,C$8,ROUND(ROUND(('Loonschijven_Tranches salariale'!$Q74*0.65),4)*$X$1,2))</f>
        <v>76.19</v>
      </c>
      <c r="D75" s="59">
        <f>IF(ROUND(ROUND(('Loonschijven_Tranches salariale'!$Q74*0.6),4)*$X$1,2)&lt;D$8,D$8,ROUND(ROUND(('Loonschijven_Tranches salariale'!$Q74*0.6),4)*$X$1,2))</f>
        <v>70.33</v>
      </c>
      <c r="E75" s="59">
        <f>IF(ROUND(ROUND(('Loonschijven_Tranches salariale'!$Q74*0.6),4)*$X$1,2)&lt;E$8,E$8,IF('Loonschijven_Tranches salariale'!$Q74&lt;Basisbedragen!$C$24,ROUND(ROUND(('Loonschijven_Tranches salariale'!$Q74*0.6),4)*$X$1,2),ROUND(ROUND((Basisbedragen!$C$24*0.6),4)*$X$1,2)))</f>
        <v>70.33</v>
      </c>
      <c r="F75" s="42"/>
      <c r="G75" s="59">
        <f>IF(ROUND(ROUND(('Loonschijven_Tranches salariale'!$Q74*0.6),4)*$X$1,2)&lt;G$8,G$8,IF('Loonschijven_Tranches salariale'!$Q74&lt;Basisbedragen!$C$23,ROUND(ROUND(('Loonschijven_Tranches salariale'!$Q74*0.6),4)*$X$1,2),ROUND(ROUND((Basisbedragen!$C$23*0.6),4)*$X$1,2)))</f>
        <v>68.989999999999995</v>
      </c>
      <c r="H75" s="59">
        <f>IF(ROUND(ROUND(('Loonschijven_Tranches salariale'!$Q74*0.55),4)*$X$1,2)&lt;H$8,H$8,IF('Loonschijven_Tranches salariale'!$Q74&lt;Basisbedragen!$C$27,ROUND(ROUND(('Loonschijven_Tranches salariale'!$Q74*0.55),4)*$X$1,2),ROUND(ROUND((Basisbedragen!$C$27*0.55),4)*$X$1,2)))</f>
        <v>61.86</v>
      </c>
      <c r="I75" s="59">
        <f t="shared" si="10"/>
        <v>59.36</v>
      </c>
      <c r="J75" s="59">
        <f t="shared" si="10"/>
        <v>56.85</v>
      </c>
      <c r="K75" s="59">
        <f t="shared" si="10"/>
        <v>55.29</v>
      </c>
      <c r="L75" s="59">
        <f t="shared" si="10"/>
        <v>55.29</v>
      </c>
      <c r="M75" s="42"/>
      <c r="N75" s="42">
        <f t="shared" ref="N75:N87" si="14">$N$9</f>
        <v>49.34</v>
      </c>
      <c r="O75" s="59">
        <f t="shared" si="12"/>
        <v>55.29</v>
      </c>
      <c r="P75" s="42"/>
      <c r="Q75" s="59">
        <f>IF(ROUND(ROUND(('Loonschijven_Tranches salariale'!$Q74*0.6),4)*$X$1,2)&lt;Q$8,Q$8,IF('Loonschijven_Tranches salariale'!$Q74&lt;Basisbedragen!$C$23,ROUND(ROUND(('Loonschijven_Tranches salariale'!$Q74*0.6),4)*$X$1,2),ROUND(ROUND((Basisbedragen!$C$23*0.6),4)*$X$1,2)))</f>
        <v>68.989999999999995</v>
      </c>
      <c r="R75" s="59">
        <f t="shared" si="11"/>
        <v>66.05</v>
      </c>
      <c r="S75" s="59">
        <f t="shared" si="11"/>
        <v>63.11</v>
      </c>
      <c r="T75" s="59">
        <f t="shared" si="11"/>
        <v>60.23</v>
      </c>
      <c r="U75" s="59">
        <f t="shared" si="11"/>
        <v>60.23</v>
      </c>
      <c r="V75" s="43"/>
      <c r="W75" s="234">
        <f>N75+ROUND(Basisbedragen!$C$57*$X$1,2)</f>
        <v>54.28</v>
      </c>
      <c r="X75" s="59">
        <f>O75+ROUND(Basisbedragen!$C$57*$X$1,2)</f>
        <v>60.23</v>
      </c>
    </row>
    <row r="76" spans="1:24" ht="15" thickBot="1">
      <c r="A76" s="54">
        <f t="shared" si="13"/>
        <v>68</v>
      </c>
      <c r="C76" s="59">
        <f>IF(ROUND(ROUND(('Loonschijven_Tranches salariale'!$Q75*0.65),4)*$X$1,2)&lt;C$8,C$8,ROUND(ROUND(('Loonschijven_Tranches salariale'!$Q75*0.65),4)*$X$1,2))</f>
        <v>77.16</v>
      </c>
      <c r="D76" s="59">
        <f>IF(ROUND(ROUND(('Loonschijven_Tranches salariale'!$Q75*0.6),4)*$X$1,2)&lt;D$8,D$8,ROUND(ROUND(('Loonschijven_Tranches salariale'!$Q75*0.6),4)*$X$1,2))</f>
        <v>71.23</v>
      </c>
      <c r="E76" s="59">
        <f>IF(ROUND(ROUND(('Loonschijven_Tranches salariale'!$Q75*0.6),4)*$X$1,2)&lt;E$8,E$8,IF('Loonschijven_Tranches salariale'!$Q75&lt;Basisbedragen!$C$24,ROUND(ROUND(('Loonschijven_Tranches salariale'!$Q75*0.6),4)*$X$1,2),ROUND(ROUND((Basisbedragen!$C$24*0.6),4)*$X$1,2)))</f>
        <v>71.23</v>
      </c>
      <c r="F76" s="42"/>
      <c r="G76" s="59">
        <f>IF(ROUND(ROUND(('Loonschijven_Tranches salariale'!$Q75*0.6),4)*$X$1,2)&lt;G$8,G$8,IF('Loonschijven_Tranches salariale'!$Q75&lt;Basisbedragen!$C$23,ROUND(ROUND(('Loonschijven_Tranches salariale'!$Q75*0.6),4)*$X$1,2),ROUND(ROUND((Basisbedragen!$C$23*0.6),4)*$X$1,2)))</f>
        <v>68.989999999999995</v>
      </c>
      <c r="H76" s="59">
        <f>IF(ROUND(ROUND(('Loonschijven_Tranches salariale'!$Q75*0.55),4)*$X$1,2)&lt;H$8,H$8,IF('Loonschijven_Tranches salariale'!$Q75&lt;Basisbedragen!$C$27,ROUND(ROUND(('Loonschijven_Tranches salariale'!$Q75*0.55),4)*$X$1,2),ROUND(ROUND((Basisbedragen!$C$27*0.55),4)*$X$1,2)))</f>
        <v>61.86</v>
      </c>
      <c r="I76" s="59">
        <f t="shared" si="10"/>
        <v>59.36</v>
      </c>
      <c r="J76" s="59">
        <f t="shared" si="10"/>
        <v>56.85</v>
      </c>
      <c r="K76" s="59">
        <f t="shared" si="10"/>
        <v>55.29</v>
      </c>
      <c r="L76" s="59">
        <f t="shared" si="10"/>
        <v>55.29</v>
      </c>
      <c r="M76" s="42"/>
      <c r="N76" s="42">
        <f t="shared" si="14"/>
        <v>49.34</v>
      </c>
      <c r="O76" s="59">
        <f t="shared" si="12"/>
        <v>55.29</v>
      </c>
      <c r="P76" s="42"/>
      <c r="Q76" s="59">
        <f>IF(ROUND(ROUND(('Loonschijven_Tranches salariale'!$Q75*0.6),4)*$X$1,2)&lt;Q$8,Q$8,IF('Loonschijven_Tranches salariale'!$Q75&lt;Basisbedragen!$C$23,ROUND(ROUND(('Loonschijven_Tranches salariale'!$Q75*0.6),4)*$X$1,2),ROUND(ROUND((Basisbedragen!$C$23*0.6),4)*$X$1,2)))</f>
        <v>68.989999999999995</v>
      </c>
      <c r="R76" s="59">
        <f t="shared" si="11"/>
        <v>66.05</v>
      </c>
      <c r="S76" s="59">
        <f t="shared" si="11"/>
        <v>63.11</v>
      </c>
      <c r="T76" s="59">
        <f t="shared" si="11"/>
        <v>60.23</v>
      </c>
      <c r="U76" s="59">
        <f t="shared" si="11"/>
        <v>60.23</v>
      </c>
      <c r="V76" s="43"/>
      <c r="W76" s="234">
        <f>N76+ROUND(Basisbedragen!$C$57*$X$1,2)</f>
        <v>54.28</v>
      </c>
      <c r="X76" s="59">
        <f>O76+ROUND(Basisbedragen!$C$57*$X$1,2)</f>
        <v>60.23</v>
      </c>
    </row>
    <row r="77" spans="1:24" ht="15" thickBot="1">
      <c r="A77" s="54">
        <f t="shared" si="13"/>
        <v>69</v>
      </c>
      <c r="C77" s="59">
        <f>IF(ROUND(ROUND(('Loonschijven_Tranches salariale'!$Q76*0.65),4)*$X$1,2)&lt;C$8,C$8,ROUND(ROUND(('Loonschijven_Tranches salariale'!$Q76*0.65),4)*$X$1,2))</f>
        <v>78.14</v>
      </c>
      <c r="D77" s="59">
        <f>IF(ROUND(ROUND(('Loonschijven_Tranches salariale'!$Q76*0.6),4)*$X$1,2)&lt;D$8,D$8,ROUND(ROUND(('Loonschijven_Tranches salariale'!$Q76*0.6),4)*$X$1,2))</f>
        <v>72.13</v>
      </c>
      <c r="E77" s="59">
        <f>IF(ROUND(ROUND(('Loonschijven_Tranches salariale'!$Q76*0.6),4)*$X$1,2)&lt;E$8,E$8,IF('Loonschijven_Tranches salariale'!$Q76&lt;Basisbedragen!$C$24,ROUND(ROUND(('Loonschijven_Tranches salariale'!$Q76*0.6),4)*$X$1,2),ROUND(ROUND((Basisbedragen!$C$24*0.6),4)*$X$1,2)))</f>
        <v>72.13</v>
      </c>
      <c r="F77" s="42"/>
      <c r="G77" s="59">
        <f>IF(ROUND(ROUND(('Loonschijven_Tranches salariale'!$Q76*0.6),4)*$X$1,2)&lt;G$8,G$8,IF('Loonschijven_Tranches salariale'!$Q76&lt;Basisbedragen!$C$23,ROUND(ROUND(('Loonschijven_Tranches salariale'!$Q76*0.6),4)*$X$1,2),ROUND(ROUND((Basisbedragen!$C$23*0.6),4)*$X$1,2)))</f>
        <v>68.989999999999995</v>
      </c>
      <c r="H77" s="59">
        <f>IF(ROUND(ROUND(('Loonschijven_Tranches salariale'!$Q76*0.55),4)*$X$1,2)&lt;H$8,H$8,IF('Loonschijven_Tranches salariale'!$Q76&lt;Basisbedragen!$C$27,ROUND(ROUND(('Loonschijven_Tranches salariale'!$Q76*0.55),4)*$X$1,2),ROUND(ROUND((Basisbedragen!$C$27*0.55),4)*$X$1,2)))</f>
        <v>61.86</v>
      </c>
      <c r="I77" s="59">
        <f t="shared" si="10"/>
        <v>59.36</v>
      </c>
      <c r="J77" s="59">
        <f t="shared" si="10"/>
        <v>56.85</v>
      </c>
      <c r="K77" s="59">
        <f t="shared" si="10"/>
        <v>55.29</v>
      </c>
      <c r="L77" s="59">
        <f t="shared" si="10"/>
        <v>55.29</v>
      </c>
      <c r="M77" s="42"/>
      <c r="N77" s="42">
        <f t="shared" si="14"/>
        <v>49.34</v>
      </c>
      <c r="O77" s="59">
        <f t="shared" si="12"/>
        <v>55.29</v>
      </c>
      <c r="P77" s="42"/>
      <c r="Q77" s="59">
        <f>IF(ROUND(ROUND(('Loonschijven_Tranches salariale'!$Q76*0.6),4)*$X$1,2)&lt;Q$8,Q$8,IF('Loonschijven_Tranches salariale'!$Q76&lt;Basisbedragen!$C$23,ROUND(ROUND(('Loonschijven_Tranches salariale'!$Q76*0.6),4)*$X$1,2),ROUND(ROUND((Basisbedragen!$C$23*0.6),4)*$X$1,2)))</f>
        <v>68.989999999999995</v>
      </c>
      <c r="R77" s="59">
        <f t="shared" si="11"/>
        <v>66.05</v>
      </c>
      <c r="S77" s="59">
        <f t="shared" si="11"/>
        <v>63.11</v>
      </c>
      <c r="T77" s="59">
        <f t="shared" si="11"/>
        <v>60.23</v>
      </c>
      <c r="U77" s="59">
        <f t="shared" si="11"/>
        <v>60.23</v>
      </c>
      <c r="V77" s="43"/>
      <c r="W77" s="234">
        <f>N77+ROUND(Basisbedragen!$C$57*$X$1,2)</f>
        <v>54.28</v>
      </c>
      <c r="X77" s="59">
        <f>O77+ROUND(Basisbedragen!$C$57*$X$1,2)</f>
        <v>60.23</v>
      </c>
    </row>
    <row r="78" spans="1:24" ht="15" thickBot="1">
      <c r="A78" s="54">
        <f t="shared" si="13"/>
        <v>70</v>
      </c>
      <c r="C78" s="59">
        <f>IF(ROUND(ROUND(('Loonschijven_Tranches salariale'!$Q77*0.65),4)*$X$1,2)&lt;C$8,C$8,ROUND(ROUND(('Loonschijven_Tranches salariale'!$Q77*0.65),4)*$X$1,2))</f>
        <v>78.78</v>
      </c>
      <c r="D78" s="59">
        <f>IF(ROUND(ROUND(('Loonschijven_Tranches salariale'!$Q77*0.6),4)*$X$1,2)&lt;D$8,D$8,ROUND(ROUND(('Loonschijven_Tranches salariale'!$Q77*0.6),4)*$X$1,2))</f>
        <v>72.72</v>
      </c>
      <c r="E78" s="59">
        <f>IF(ROUND(ROUND(('Loonschijven_Tranches salariale'!$Q77*0.6),4)*$X$1,2)&lt;E$8,E$8,IF('Loonschijven_Tranches salariale'!$Q77&lt;Basisbedragen!$C$24,ROUND(ROUND(('Loonschijven_Tranches salariale'!$Q77*0.6),4)*$X$1,2),ROUND(ROUND((Basisbedragen!$C$24*0.6),4)*$X$1,2)))</f>
        <v>72.72</v>
      </c>
      <c r="F78" s="42"/>
      <c r="G78" s="59">
        <f>IF(ROUND(ROUND(('Loonschijven_Tranches salariale'!$Q77*0.6),4)*$X$1,2)&lt;G$8,G$8,IF('Loonschijven_Tranches salariale'!$Q77&lt;Basisbedragen!$C$23,ROUND(ROUND(('Loonschijven_Tranches salariale'!$Q77*0.6),4)*$X$1,2),ROUND(ROUND((Basisbedragen!$C$23*0.6),4)*$X$1,2)))</f>
        <v>68.989999999999995</v>
      </c>
      <c r="H78" s="59">
        <f>IF(ROUND(ROUND(('Loonschijven_Tranches salariale'!$Q77*0.55),4)*$X$1,2)&lt;H$8,H$8,IF('Loonschijven_Tranches salariale'!$Q77&lt;Basisbedragen!$C$27,ROUND(ROUND(('Loonschijven_Tranches salariale'!$Q77*0.55),4)*$X$1,2),ROUND(ROUND((Basisbedragen!$C$27*0.55),4)*$X$1,2)))</f>
        <v>61.86</v>
      </c>
      <c r="I78" s="59">
        <f t="shared" si="10"/>
        <v>59.36</v>
      </c>
      <c r="J78" s="59">
        <f t="shared" si="10"/>
        <v>56.85</v>
      </c>
      <c r="K78" s="59">
        <f t="shared" si="10"/>
        <v>55.29</v>
      </c>
      <c r="L78" s="59">
        <f t="shared" si="10"/>
        <v>55.29</v>
      </c>
      <c r="M78" s="42"/>
      <c r="N78" s="42">
        <f t="shared" si="14"/>
        <v>49.34</v>
      </c>
      <c r="O78" s="59">
        <f t="shared" si="12"/>
        <v>55.29</v>
      </c>
      <c r="P78" s="42"/>
      <c r="Q78" s="59">
        <f>IF(ROUND(ROUND(('Loonschijven_Tranches salariale'!$Q77*0.6),4)*$X$1,2)&lt;Q$8,Q$8,IF('Loonschijven_Tranches salariale'!$Q77&lt;Basisbedragen!$C$23,ROUND(ROUND(('Loonschijven_Tranches salariale'!$Q77*0.6),4)*$X$1,2),ROUND(ROUND((Basisbedragen!$C$23*0.6),4)*$X$1,2)))</f>
        <v>68.989999999999995</v>
      </c>
      <c r="R78" s="59">
        <f t="shared" si="11"/>
        <v>66.05</v>
      </c>
      <c r="S78" s="59">
        <f t="shared" si="11"/>
        <v>63.11</v>
      </c>
      <c r="T78" s="59">
        <f t="shared" si="11"/>
        <v>60.23</v>
      </c>
      <c r="U78" s="59">
        <f t="shared" si="11"/>
        <v>60.23</v>
      </c>
      <c r="V78" s="43"/>
      <c r="W78" s="234">
        <f>N78+ROUND(Basisbedragen!$C$57*$X$1,2)</f>
        <v>54.28</v>
      </c>
      <c r="X78" s="59">
        <f>O78+ROUND(Basisbedragen!$C$57*$X$1,2)</f>
        <v>60.23</v>
      </c>
    </row>
    <row r="79" spans="1:24" ht="15" thickBot="1">
      <c r="A79" s="54">
        <f t="shared" si="13"/>
        <v>71</v>
      </c>
      <c r="C79" s="59">
        <f>IF(ROUND(ROUND(('Loonschijven_Tranches salariale'!$Q78*0.65),4)*$X$1,2)&lt;C$8,C$8,ROUND(ROUND(('Loonschijven_Tranches salariale'!$Q78*0.65),4)*$X$1,2))</f>
        <v>79.28</v>
      </c>
      <c r="D79" s="59">
        <f>IF(ROUND(ROUND(('Loonschijven_Tranches salariale'!$Q78*0.6),4)*$X$1,2)&lt;D$8,D$8,ROUND(ROUND(('Loonschijven_Tranches salariale'!$Q78*0.6),4)*$X$1,2))</f>
        <v>73.180000000000007</v>
      </c>
      <c r="E79" s="59">
        <f>IF(ROUND(ROUND(('Loonschijven_Tranches salariale'!$Q78*0.6),4)*$X$1,2)&lt;E$8,E$8,IF('Loonschijven_Tranches salariale'!$Q78&lt;Basisbedragen!$C$24,ROUND(ROUND(('Loonschijven_Tranches salariale'!$Q78*0.6),4)*$X$1,2),ROUND(ROUND((Basisbedragen!$C$24*0.6),4)*$X$1,2)))</f>
        <v>73.180000000000007</v>
      </c>
      <c r="F79" s="42"/>
      <c r="G79" s="59">
        <f>IF(ROUND(ROUND(('Loonschijven_Tranches salariale'!$Q78*0.6),4)*$X$1,2)&lt;G$8,G$8,IF('Loonschijven_Tranches salariale'!$Q78&lt;Basisbedragen!$C$23,ROUND(ROUND(('Loonschijven_Tranches salariale'!$Q78*0.6),4)*$X$1,2),ROUND(ROUND((Basisbedragen!$C$23*0.6),4)*$X$1,2)))</f>
        <v>68.989999999999995</v>
      </c>
      <c r="H79" s="59">
        <f>IF(ROUND(ROUND(('Loonschijven_Tranches salariale'!$Q78*0.55),4)*$X$1,2)&lt;H$8,H$8,IF('Loonschijven_Tranches salariale'!$Q78&lt;Basisbedragen!$C$27,ROUND(ROUND(('Loonschijven_Tranches salariale'!$Q78*0.55),4)*$X$1,2),ROUND(ROUND((Basisbedragen!$C$27*0.55),4)*$X$1,2)))</f>
        <v>61.86</v>
      </c>
      <c r="I79" s="59">
        <f t="shared" si="10"/>
        <v>59.36</v>
      </c>
      <c r="J79" s="59">
        <f t="shared" si="10"/>
        <v>56.85</v>
      </c>
      <c r="K79" s="59">
        <f t="shared" si="10"/>
        <v>55.29</v>
      </c>
      <c r="L79" s="59">
        <f t="shared" si="10"/>
        <v>55.29</v>
      </c>
      <c r="M79" s="42"/>
      <c r="N79" s="42">
        <f t="shared" si="14"/>
        <v>49.34</v>
      </c>
      <c r="O79" s="59">
        <f t="shared" si="12"/>
        <v>55.29</v>
      </c>
      <c r="P79" s="42"/>
      <c r="Q79" s="59">
        <f>IF(ROUND(ROUND(('Loonschijven_Tranches salariale'!$Q78*0.6),4)*$X$1,2)&lt;Q$8,Q$8,IF('Loonschijven_Tranches salariale'!$Q78&lt;Basisbedragen!$C$23,ROUND(ROUND(('Loonschijven_Tranches salariale'!$Q78*0.6),4)*$X$1,2),ROUND(ROUND((Basisbedragen!$C$23*0.6),4)*$X$1,2)))</f>
        <v>68.989999999999995</v>
      </c>
      <c r="R79" s="59">
        <f t="shared" si="11"/>
        <v>66.05</v>
      </c>
      <c r="S79" s="59">
        <f t="shared" si="11"/>
        <v>63.11</v>
      </c>
      <c r="T79" s="59">
        <f t="shared" si="11"/>
        <v>60.23</v>
      </c>
      <c r="U79" s="59">
        <f t="shared" si="11"/>
        <v>60.23</v>
      </c>
      <c r="V79" s="43"/>
      <c r="W79" s="234">
        <f>N79+ROUND(Basisbedragen!$C$57*$X$1,2)</f>
        <v>54.28</v>
      </c>
      <c r="X79" s="59">
        <f>O79+ROUND(Basisbedragen!$C$57*$X$1,2)</f>
        <v>60.23</v>
      </c>
    </row>
    <row r="80" spans="1:24" ht="15" thickBot="1">
      <c r="A80" s="54">
        <f t="shared" si="13"/>
        <v>72</v>
      </c>
      <c r="C80" s="59">
        <f>IF(ROUND(ROUND(('Loonschijven_Tranches salariale'!$Q79*0.65),4)*$X$1,2)&lt;C$8,C$8,ROUND(ROUND(('Loonschijven_Tranches salariale'!$Q79*0.65),4)*$X$1,2))</f>
        <v>79.77</v>
      </c>
      <c r="D80" s="59">
        <f>IF(ROUND(ROUND(('Loonschijven_Tranches salariale'!$Q79*0.6),4)*$X$1,2)&lt;D$8,D$8,ROUND(ROUND(('Loonschijven_Tranches salariale'!$Q79*0.6),4)*$X$1,2))</f>
        <v>73.63</v>
      </c>
      <c r="E80" s="59">
        <f>IF(ROUND(ROUND(('Loonschijven_Tranches salariale'!$Q79*0.6),4)*$X$1,2)&lt;E$8,E$8,IF('Loonschijven_Tranches salariale'!$Q79&lt;Basisbedragen!$C$24,ROUND(ROUND(('Loonschijven_Tranches salariale'!$Q79*0.6),4)*$X$1,2),ROUND(ROUND((Basisbedragen!$C$24*0.6),4)*$X$1,2)))</f>
        <v>73.63</v>
      </c>
      <c r="F80" s="42"/>
      <c r="G80" s="59">
        <f>IF(ROUND(ROUND(('Loonschijven_Tranches salariale'!$Q79*0.6),4)*$X$1,2)&lt;G$8,G$8,IF('Loonschijven_Tranches salariale'!$Q79&lt;Basisbedragen!$C$23,ROUND(ROUND(('Loonschijven_Tranches salariale'!$Q79*0.6),4)*$X$1,2),ROUND(ROUND((Basisbedragen!$C$23*0.6),4)*$X$1,2)))</f>
        <v>68.989999999999995</v>
      </c>
      <c r="H80" s="59">
        <f>IF(ROUND(ROUND(('Loonschijven_Tranches salariale'!$Q79*0.55),4)*$X$1,2)&lt;H$8,H$8,IF('Loonschijven_Tranches salariale'!$Q79&lt;Basisbedragen!$C$27,ROUND(ROUND(('Loonschijven_Tranches salariale'!$Q79*0.55),4)*$X$1,2),ROUND(ROUND((Basisbedragen!$C$27*0.55),4)*$X$1,2)))</f>
        <v>61.86</v>
      </c>
      <c r="I80" s="59">
        <f t="shared" si="10"/>
        <v>59.36</v>
      </c>
      <c r="J80" s="59">
        <f t="shared" si="10"/>
        <v>56.85</v>
      </c>
      <c r="K80" s="59">
        <f t="shared" si="10"/>
        <v>55.29</v>
      </c>
      <c r="L80" s="59">
        <f t="shared" si="10"/>
        <v>55.29</v>
      </c>
      <c r="M80" s="42"/>
      <c r="N80" s="42">
        <f t="shared" si="14"/>
        <v>49.34</v>
      </c>
      <c r="O80" s="59">
        <f t="shared" si="12"/>
        <v>55.29</v>
      </c>
      <c r="P80" s="42"/>
      <c r="Q80" s="59">
        <f>IF(ROUND(ROUND(('Loonschijven_Tranches salariale'!$Q79*0.6),4)*$X$1,2)&lt;Q$8,Q$8,IF('Loonschijven_Tranches salariale'!$Q79&lt;Basisbedragen!$C$23,ROUND(ROUND(('Loonschijven_Tranches salariale'!$Q79*0.6),4)*$X$1,2),ROUND(ROUND((Basisbedragen!$C$23*0.6),4)*$X$1,2)))</f>
        <v>68.989999999999995</v>
      </c>
      <c r="R80" s="59">
        <f t="shared" si="11"/>
        <v>66.05</v>
      </c>
      <c r="S80" s="59">
        <f t="shared" si="11"/>
        <v>63.11</v>
      </c>
      <c r="T80" s="59">
        <f t="shared" si="11"/>
        <v>60.23</v>
      </c>
      <c r="U80" s="59">
        <f t="shared" si="11"/>
        <v>60.23</v>
      </c>
      <c r="V80" s="43"/>
      <c r="W80" s="234">
        <f>N80+ROUND(Basisbedragen!$C$57*$X$1,2)</f>
        <v>54.28</v>
      </c>
      <c r="X80" s="59">
        <f>O80+ROUND(Basisbedragen!$C$57*$X$1,2)</f>
        <v>60.23</v>
      </c>
    </row>
    <row r="81" spans="1:24" ht="15" thickBot="1">
      <c r="A81" s="54">
        <f t="shared" si="13"/>
        <v>73</v>
      </c>
      <c r="C81" s="59">
        <f>IF(ROUND(ROUND(('Loonschijven_Tranches salariale'!$Q80*0.65),4)*$X$1,2)&lt;C$8,C$8,ROUND(ROUND(('Loonschijven_Tranches salariale'!$Q80*0.65),4)*$X$1,2))</f>
        <v>80.87</v>
      </c>
      <c r="D81" s="59">
        <f>IF(ROUND(ROUND(('Loonschijven_Tranches salariale'!$Q80*0.6),4)*$X$1,2)&lt;D$8,D$8,ROUND(ROUND(('Loonschijven_Tranches salariale'!$Q80*0.6),4)*$X$1,2))</f>
        <v>74.650000000000006</v>
      </c>
      <c r="E81" s="59">
        <f>IF(ROUND(ROUND(('Loonschijven_Tranches salariale'!$Q80*0.6),4)*$X$1,2)&lt;E$8,E$8,IF('Loonschijven_Tranches salariale'!$Q80&lt;Basisbedragen!$C$24,ROUND(ROUND(('Loonschijven_Tranches salariale'!$Q80*0.6),4)*$X$1,2),ROUND(ROUND((Basisbedragen!$C$24*0.6),4)*$X$1,2)))</f>
        <v>73.819999999999993</v>
      </c>
      <c r="G81" s="59">
        <f>IF(ROUND(ROUND(('Loonschijven_Tranches salariale'!$Q80*0.6),4)*$X$1,2)&lt;G$8,G$8,IF('Loonschijven_Tranches salariale'!$Q80&lt;Basisbedragen!$C$23,ROUND(ROUND(('Loonschijven_Tranches salariale'!$Q80*0.6),4)*$X$1,2),ROUND(ROUND((Basisbedragen!$C$23*0.6),4)*$X$1,2)))</f>
        <v>68.989999999999995</v>
      </c>
      <c r="H81" s="59">
        <f>IF(ROUND(ROUND(('Loonschijven_Tranches salariale'!$Q80*0.55),4)*$X$1,2)&lt;H$8,H$8,IF('Loonschijven_Tranches salariale'!$Q80&lt;Basisbedragen!$C$27,ROUND(ROUND(('Loonschijven_Tranches salariale'!$Q80*0.55),4)*$X$1,2),ROUND(ROUND((Basisbedragen!$C$27*0.55),4)*$X$1,2)))</f>
        <v>61.86</v>
      </c>
      <c r="I81" s="59">
        <f t="shared" si="10"/>
        <v>59.36</v>
      </c>
      <c r="J81" s="59">
        <f t="shared" si="10"/>
        <v>56.85</v>
      </c>
      <c r="K81" s="59">
        <f t="shared" si="10"/>
        <v>55.29</v>
      </c>
      <c r="L81" s="59">
        <f t="shared" si="10"/>
        <v>55.29</v>
      </c>
      <c r="N81" s="42">
        <f t="shared" si="14"/>
        <v>49.34</v>
      </c>
      <c r="O81" s="59">
        <f t="shared" si="12"/>
        <v>55.29</v>
      </c>
      <c r="Q81" s="59">
        <f>IF(ROUND(ROUND(('Loonschijven_Tranches salariale'!$Q80*0.6),4)*$X$1,2)&lt;Q$8,Q$8,IF('Loonschijven_Tranches salariale'!$Q80&lt;Basisbedragen!$C$23,ROUND(ROUND(('Loonschijven_Tranches salariale'!$Q80*0.6),4)*$X$1,2),ROUND(ROUND((Basisbedragen!$C$23*0.6),4)*$X$1,2)))</f>
        <v>68.989999999999995</v>
      </c>
      <c r="R81" s="59">
        <f t="shared" si="11"/>
        <v>66.05</v>
      </c>
      <c r="S81" s="59">
        <f t="shared" si="11"/>
        <v>63.11</v>
      </c>
      <c r="T81" s="59">
        <f t="shared" si="11"/>
        <v>60.23</v>
      </c>
      <c r="U81" s="59">
        <f t="shared" si="11"/>
        <v>60.23</v>
      </c>
      <c r="W81" s="234">
        <f>N81+ROUND(Basisbedragen!$C$57*$X$1,2)</f>
        <v>54.28</v>
      </c>
      <c r="X81" s="59">
        <f>O81+ROUND(Basisbedragen!$C$57*$X$1,2)</f>
        <v>60.23</v>
      </c>
    </row>
    <row r="82" spans="1:24" ht="15" thickBot="1">
      <c r="A82" s="54">
        <f t="shared" si="13"/>
        <v>74</v>
      </c>
      <c r="C82" s="59">
        <f>IF(ROUND(ROUND(('Loonschijven_Tranches salariale'!$Q81*0.65),4)*$X$1,2)&lt;C$8,C$8,ROUND(ROUND(('Loonschijven_Tranches salariale'!$Q81*0.65),4)*$X$1,2))</f>
        <v>81.36</v>
      </c>
      <c r="D82" s="59">
        <f>IF(ROUND(ROUND(('Loonschijven_Tranches salariale'!$Q81*0.6),4)*$X$1,2)&lt;D$8,D$8,ROUND(ROUND(('Loonschijven_Tranches salariale'!$Q81*0.6),4)*$X$1,2))</f>
        <v>75.099999999999994</v>
      </c>
      <c r="E82" s="59">
        <f>IF(ROUND(ROUND(('Loonschijven_Tranches salariale'!$Q81*0.6),4)*$X$1,2)&lt;E$8,E$8,IF('Loonschijven_Tranches salariale'!$Q81&lt;Basisbedragen!$C$24,ROUND(ROUND(('Loonschijven_Tranches salariale'!$Q81*0.6),4)*$X$1,2),ROUND(ROUND((Basisbedragen!$C$24*0.6),4)*$X$1,2)))</f>
        <v>73.819999999999993</v>
      </c>
      <c r="G82" s="59">
        <f>IF(ROUND(ROUND(('Loonschijven_Tranches salariale'!$Q81*0.6),4)*$X$1,2)&lt;G$8,G$8,IF('Loonschijven_Tranches salariale'!$Q81&lt;Basisbedragen!$C$23,ROUND(ROUND(('Loonschijven_Tranches salariale'!$Q81*0.6),4)*$X$1,2),ROUND(ROUND((Basisbedragen!$C$23*0.6),4)*$X$1,2)))</f>
        <v>68.989999999999995</v>
      </c>
      <c r="H82" s="59">
        <f>IF(ROUND(ROUND(('Loonschijven_Tranches salariale'!$Q81*0.55),4)*$X$1,2)&lt;H$8,H$8,IF('Loonschijven_Tranches salariale'!$Q81&lt;Basisbedragen!$C$27,ROUND(ROUND(('Loonschijven_Tranches salariale'!$Q81*0.55),4)*$X$1,2),ROUND(ROUND((Basisbedragen!$C$27*0.55),4)*$X$1,2)))</f>
        <v>61.86</v>
      </c>
      <c r="I82" s="59">
        <f t="shared" si="10"/>
        <v>59.36</v>
      </c>
      <c r="J82" s="59">
        <f t="shared" si="10"/>
        <v>56.85</v>
      </c>
      <c r="K82" s="59">
        <f t="shared" si="10"/>
        <v>55.29</v>
      </c>
      <c r="L82" s="59">
        <f t="shared" si="10"/>
        <v>55.29</v>
      </c>
      <c r="N82" s="42">
        <f t="shared" si="14"/>
        <v>49.34</v>
      </c>
      <c r="O82" s="59">
        <f t="shared" si="12"/>
        <v>55.29</v>
      </c>
      <c r="Q82" s="59">
        <f>IF(ROUND(ROUND(('Loonschijven_Tranches salariale'!$Q81*0.6),4)*$X$1,2)&lt;Q$8,Q$8,IF('Loonschijven_Tranches salariale'!$Q81&lt;Basisbedragen!$C$23,ROUND(ROUND(('Loonschijven_Tranches salariale'!$Q81*0.6),4)*$X$1,2),ROUND(ROUND((Basisbedragen!$C$23*0.6),4)*$X$1,2)))</f>
        <v>68.989999999999995</v>
      </c>
      <c r="R82" s="59">
        <f t="shared" si="11"/>
        <v>66.05</v>
      </c>
      <c r="S82" s="59">
        <f t="shared" si="11"/>
        <v>63.11</v>
      </c>
      <c r="T82" s="59">
        <f t="shared" si="11"/>
        <v>60.23</v>
      </c>
      <c r="U82" s="59">
        <f t="shared" si="11"/>
        <v>60.23</v>
      </c>
      <c r="W82" s="234">
        <f>N82+ROUND(Basisbedragen!$C$57*$X$1,2)</f>
        <v>54.28</v>
      </c>
      <c r="X82" s="59">
        <f>O82+ROUND(Basisbedragen!$C$57*$X$1,2)</f>
        <v>60.23</v>
      </c>
    </row>
    <row r="83" spans="1:24" ht="15" thickBot="1">
      <c r="A83" s="54">
        <f>A82+1</f>
        <v>75</v>
      </c>
      <c r="C83" s="59">
        <f>IF(ROUND(ROUND(('Loonschijven_Tranches salariale'!$Q82*0.65),4)*$X$1,2)&lt;C$8,C$8,ROUND(ROUND(('Loonschijven_Tranches salariale'!$Q82*0.65),4)*$X$1,2))</f>
        <v>82.38</v>
      </c>
      <c r="D83" s="59">
        <f>IF(ROUND(ROUND(('Loonschijven_Tranches salariale'!$Q82*0.6),4)*$X$1,2)&lt;D$8,D$8,ROUND(ROUND(('Loonschijven_Tranches salariale'!$Q82*0.6),4)*$X$1,2))</f>
        <v>76.040000000000006</v>
      </c>
      <c r="E83" s="59">
        <f>IF(ROUND(ROUND(('Loonschijven_Tranches salariale'!$Q82*0.6),4)*$X$1,2)&lt;E$8,E$8,IF('Loonschijven_Tranches salariale'!$Q82&lt;Basisbedragen!$C$24,ROUND(ROUND(('Loonschijven_Tranches salariale'!$Q82*0.6),4)*$X$1,2),ROUND(ROUND((Basisbedragen!$C$24*0.6),4)*$X$1,2)))</f>
        <v>73.819999999999993</v>
      </c>
      <c r="G83" s="59">
        <f>IF(ROUND(ROUND(('Loonschijven_Tranches salariale'!$Q82*0.6),4)*$X$1,2)&lt;G$8,G$8,IF('Loonschijven_Tranches salariale'!$Q82&lt;Basisbedragen!$C$23,ROUND(ROUND(('Loonschijven_Tranches salariale'!$Q82*0.6),4)*$X$1,2),ROUND(ROUND((Basisbedragen!$C$23*0.6),4)*$X$1,2)))</f>
        <v>68.989999999999995</v>
      </c>
      <c r="H83" s="59">
        <f>IF(ROUND(ROUND(('Loonschijven_Tranches salariale'!$Q82*0.55),4)*$X$1,2)&lt;H$8,H$8,IF('Loonschijven_Tranches salariale'!$Q82&lt;Basisbedragen!$C$27,ROUND(ROUND(('Loonschijven_Tranches salariale'!$Q82*0.55),4)*$X$1,2),ROUND(ROUND((Basisbedragen!$C$27*0.55),4)*$X$1,2)))</f>
        <v>61.86</v>
      </c>
      <c r="I83" s="59">
        <f t="shared" si="10"/>
        <v>59.36</v>
      </c>
      <c r="J83" s="59">
        <f t="shared" si="10"/>
        <v>56.85</v>
      </c>
      <c r="K83" s="59">
        <f t="shared" si="10"/>
        <v>55.29</v>
      </c>
      <c r="L83" s="59">
        <f t="shared" si="10"/>
        <v>55.29</v>
      </c>
      <c r="N83" s="42">
        <f t="shared" si="14"/>
        <v>49.34</v>
      </c>
      <c r="O83" s="59">
        <f t="shared" si="12"/>
        <v>55.29</v>
      </c>
      <c r="Q83" s="59">
        <f>IF(ROUND(ROUND(('Loonschijven_Tranches salariale'!$Q82*0.6),4)*$X$1,2)&lt;Q$8,Q$8,IF('Loonschijven_Tranches salariale'!$Q82&lt;Basisbedragen!$C$23,ROUND(ROUND(('Loonschijven_Tranches salariale'!$Q82*0.6),4)*$X$1,2),ROUND(ROUND((Basisbedragen!$C$23*0.6),4)*$X$1,2)))</f>
        <v>68.989999999999995</v>
      </c>
      <c r="R83" s="59">
        <f t="shared" si="11"/>
        <v>66.05</v>
      </c>
      <c r="S83" s="59">
        <f t="shared" si="11"/>
        <v>63.11</v>
      </c>
      <c r="T83" s="59">
        <f t="shared" si="11"/>
        <v>60.23</v>
      </c>
      <c r="U83" s="59">
        <f t="shared" si="11"/>
        <v>60.23</v>
      </c>
      <c r="W83" s="234">
        <f>N83+ROUND(Basisbedragen!$C$57*$X$1,2)</f>
        <v>54.28</v>
      </c>
      <c r="X83" s="59">
        <f>O83+ROUND(Basisbedragen!$C$57*$X$1,2)</f>
        <v>60.23</v>
      </c>
    </row>
    <row r="84" spans="1:24" ht="15" thickBot="1">
      <c r="A84" s="54">
        <f>A83+1</f>
        <v>76</v>
      </c>
      <c r="C84" s="59">
        <f>IF(ROUND(ROUND(('Loonschijven_Tranches salariale'!$Q83*0.65),4)*$X$1,2)&lt;C$8,C$8,ROUND(ROUND(('Loonschijven_Tranches salariale'!$Q83*0.65),4)*$X$1,2))</f>
        <v>83.04</v>
      </c>
      <c r="D84" s="59">
        <f>IF(ROUND(ROUND(('Loonschijven_Tranches salariale'!$Q83*0.6),4)*$X$1,2)&lt;D$8,D$8,ROUND(ROUND(('Loonschijven_Tranches salariale'!$Q83*0.6),4)*$X$1,2))</f>
        <v>76.650000000000006</v>
      </c>
      <c r="E84" s="59">
        <f>IF(ROUND(ROUND(('Loonschijven_Tranches salariale'!$Q83*0.6),4)*$X$1,2)&lt;E$8,E$8,IF('Loonschijven_Tranches salariale'!$Q83&lt;Basisbedragen!$C$24,ROUND(ROUND(('Loonschijven_Tranches salariale'!$Q83*0.6),4)*$X$1,2),ROUND(ROUND((Basisbedragen!$C$24*0.6),4)*$X$1,2)))</f>
        <v>73.819999999999993</v>
      </c>
      <c r="G84" s="59">
        <f>IF(ROUND(ROUND(('Loonschijven_Tranches salariale'!$Q83*0.6),4)*$X$1,2)&lt;G$8,G$8,IF('Loonschijven_Tranches salariale'!$Q83&lt;Basisbedragen!$C$23,ROUND(ROUND(('Loonschijven_Tranches salariale'!$Q83*0.6),4)*$X$1,2),ROUND(ROUND((Basisbedragen!$C$23*0.6),4)*$X$1,2)))</f>
        <v>68.989999999999995</v>
      </c>
      <c r="H84" s="59">
        <f>IF(ROUND(ROUND(('Loonschijven_Tranches salariale'!$Q83*0.55),4)*$X$1,2)&lt;H$8,H$8,IF('Loonschijven_Tranches salariale'!$Q83&lt;Basisbedragen!$C$27,ROUND(ROUND(('Loonschijven_Tranches salariale'!$Q83*0.55),4)*$X$1,2),ROUND(ROUND((Basisbedragen!$C$27*0.55),4)*$X$1,2)))</f>
        <v>61.86</v>
      </c>
      <c r="I84" s="59">
        <f t="shared" si="10"/>
        <v>59.36</v>
      </c>
      <c r="J84" s="59">
        <f t="shared" si="10"/>
        <v>56.85</v>
      </c>
      <c r="K84" s="59">
        <f t="shared" si="10"/>
        <v>55.29</v>
      </c>
      <c r="L84" s="59">
        <f t="shared" si="10"/>
        <v>55.29</v>
      </c>
      <c r="N84" s="42">
        <f t="shared" si="14"/>
        <v>49.34</v>
      </c>
      <c r="O84" s="59">
        <f t="shared" si="12"/>
        <v>55.29</v>
      </c>
      <c r="Q84" s="59">
        <f>IF(ROUND(ROUND(('Loonschijven_Tranches salariale'!$Q83*0.6),4)*$X$1,2)&lt;Q$8,Q$8,IF('Loonschijven_Tranches salariale'!$Q83&lt;Basisbedragen!$C$23,ROUND(ROUND(('Loonschijven_Tranches salariale'!$Q83*0.6),4)*$X$1,2),ROUND(ROUND((Basisbedragen!$C$23*0.6),4)*$X$1,2)))</f>
        <v>68.989999999999995</v>
      </c>
      <c r="R84" s="59">
        <f t="shared" si="11"/>
        <v>66.05</v>
      </c>
      <c r="S84" s="59">
        <f t="shared" si="11"/>
        <v>63.11</v>
      </c>
      <c r="T84" s="59">
        <f t="shared" si="11"/>
        <v>60.23</v>
      </c>
      <c r="U84" s="59">
        <f t="shared" si="11"/>
        <v>60.23</v>
      </c>
      <c r="W84" s="234">
        <f>N84+ROUND(Basisbedragen!$C$57*$X$1,2)</f>
        <v>54.28</v>
      </c>
      <c r="X84" s="59">
        <f>O84+ROUND(Basisbedragen!$C$57*$X$1,2)</f>
        <v>60.23</v>
      </c>
    </row>
    <row r="85" spans="1:24" ht="15" thickBot="1">
      <c r="A85" s="54">
        <f>A84+1</f>
        <v>77</v>
      </c>
      <c r="C85" s="59">
        <f>IF(ROUND(ROUND(('Loonschijven_Tranches salariale'!$Q84*0.65),4)*$X$1,2)&lt;C$8,C$8,ROUND(ROUND(('Loonschijven_Tranches salariale'!$Q84*0.65),4)*$X$1,2))</f>
        <v>83.95</v>
      </c>
      <c r="D85" s="59">
        <f>IF(ROUND(ROUND(('Loonschijven_Tranches salariale'!$Q84*0.6),4)*$X$1,2)&lt;D$8,D$8,ROUND(ROUND(('Loonschijven_Tranches salariale'!$Q84*0.6),4)*$X$1,2))</f>
        <v>77.489999999999995</v>
      </c>
      <c r="E85" s="59">
        <f>IF(ROUND(ROUND(('Loonschijven_Tranches salariale'!$Q84*0.6),4)*$X$1,2)&lt;E$8,E$8,IF('Loonschijven_Tranches salariale'!$Q84&lt;Basisbedragen!$C$24,ROUND(ROUND(('Loonschijven_Tranches salariale'!$Q84*0.6),4)*$X$1,2),ROUND(ROUND((Basisbedragen!$C$24*0.6),4)*$X$1,2)))</f>
        <v>73.819999999999993</v>
      </c>
      <c r="G85" s="59">
        <f>IF(ROUND(ROUND(('Loonschijven_Tranches salariale'!$Q84*0.6),4)*$X$1,2)&lt;G$8,G$8,IF('Loonschijven_Tranches salariale'!$Q84&lt;Basisbedragen!$C$23,ROUND(ROUND(('Loonschijven_Tranches salariale'!$Q84*0.6),4)*$X$1,2),ROUND(ROUND((Basisbedragen!$C$23*0.6),4)*$X$1,2)))</f>
        <v>68.989999999999995</v>
      </c>
      <c r="H85" s="59">
        <f>IF(ROUND(ROUND(('Loonschijven_Tranches salariale'!$Q84*0.55),4)*$X$1,2)&lt;H$8,H$8,IF('Loonschijven_Tranches salariale'!$Q84&lt;Basisbedragen!$C$27,ROUND(ROUND(('Loonschijven_Tranches salariale'!$Q84*0.55),4)*$X$1,2),ROUND(ROUND((Basisbedragen!$C$27*0.55),4)*$X$1,2)))</f>
        <v>61.86</v>
      </c>
      <c r="I85" s="59">
        <f t="shared" si="10"/>
        <v>59.36</v>
      </c>
      <c r="J85" s="59">
        <f t="shared" si="10"/>
        <v>56.85</v>
      </c>
      <c r="K85" s="59">
        <f t="shared" si="10"/>
        <v>55.29</v>
      </c>
      <c r="L85" s="59">
        <f t="shared" si="10"/>
        <v>55.29</v>
      </c>
      <c r="N85" s="42">
        <f t="shared" si="14"/>
        <v>49.34</v>
      </c>
      <c r="O85" s="59">
        <f t="shared" si="12"/>
        <v>55.29</v>
      </c>
      <c r="Q85" s="59">
        <f>IF(ROUND(ROUND(('Loonschijven_Tranches salariale'!$Q84*0.6),4)*$X$1,2)&lt;Q$8,Q$8,IF('Loonschijven_Tranches salariale'!$Q84&lt;Basisbedragen!$C$23,ROUND(ROUND(('Loonschijven_Tranches salariale'!$Q84*0.6),4)*$X$1,2),ROUND(ROUND((Basisbedragen!$C$23*0.6),4)*$X$1,2)))</f>
        <v>68.989999999999995</v>
      </c>
      <c r="R85" s="59">
        <f t="shared" si="11"/>
        <v>66.05</v>
      </c>
      <c r="S85" s="59">
        <f t="shared" si="11"/>
        <v>63.11</v>
      </c>
      <c r="T85" s="59">
        <f t="shared" si="11"/>
        <v>60.23</v>
      </c>
      <c r="U85" s="59">
        <f t="shared" si="11"/>
        <v>60.23</v>
      </c>
      <c r="W85" s="234">
        <f>N85+ROUND(Basisbedragen!$C$57*$X$1,2)</f>
        <v>54.28</v>
      </c>
      <c r="X85" s="59">
        <f>O85+ROUND(Basisbedragen!$C$57*$X$1,2)</f>
        <v>60.23</v>
      </c>
    </row>
    <row r="86" spans="1:24" ht="15" thickBot="1">
      <c r="A86" s="54">
        <f>A85+1</f>
        <v>78</v>
      </c>
      <c r="B86" s="486"/>
      <c r="C86" s="59">
        <f>IF(ROUND(ROUND(('Loonschijven_Tranches salariale'!$Q85*0.65),4)*$X$1,2)&lt;C$8,C$8,ROUND(ROUND(('Loonschijven_Tranches salariale'!$Q85*0.65),4)*$X$1,2))</f>
        <v>84.88</v>
      </c>
      <c r="D86" s="59">
        <f>IF(ROUND(ROUND(('Loonschijven_Tranches salariale'!$Q85*0.6),4)*$X$1,2)&lt;D$8,D$8,ROUND(ROUND(('Loonschijven_Tranches salariale'!$Q85*0.6),4)*$X$1,2))</f>
        <v>78.349999999999994</v>
      </c>
      <c r="E86" s="59">
        <f>IF(ROUND(ROUND(('Loonschijven_Tranches salariale'!$Q85*0.6),4)*$X$1,2)&lt;E$8,E$8,IF('Loonschijven_Tranches salariale'!$Q85&lt;Basisbedragen!$C$24,ROUND(ROUND(('Loonschijven_Tranches salariale'!$Q85*0.6),4)*$X$1,2),ROUND(ROUND((Basisbedragen!$C$24*0.6),4)*$X$1,2)))</f>
        <v>73.819999999999993</v>
      </c>
      <c r="F86" s="486"/>
      <c r="G86" s="59">
        <f>IF(ROUND(ROUND(('Loonschijven_Tranches salariale'!$Q85*0.6),4)*$X$1,2)&lt;G$8,G$8,IF('Loonschijven_Tranches salariale'!$Q85&lt;Basisbedragen!$C$23,ROUND(ROUND(('Loonschijven_Tranches salariale'!$Q85*0.6),4)*$X$1,2),ROUND(ROUND((Basisbedragen!$C$23*0.6),4)*$X$1,2)))</f>
        <v>68.989999999999995</v>
      </c>
      <c r="H86" s="59">
        <f>IF(ROUND(ROUND(('Loonschijven_Tranches salariale'!$Q85*0.55),4)*$X$1,2)&lt;H$8,H$8,IF('Loonschijven_Tranches salariale'!$Q85&lt;Basisbedragen!$C$27,ROUND(ROUND(('Loonschijven_Tranches salariale'!$Q85*0.55),4)*$X$1,2),ROUND(ROUND((Basisbedragen!$C$27*0.55),4)*$X$1,2)))</f>
        <v>61.86</v>
      </c>
      <c r="I86" s="59">
        <f t="shared" si="10"/>
        <v>59.36</v>
      </c>
      <c r="J86" s="59">
        <f t="shared" si="10"/>
        <v>56.85</v>
      </c>
      <c r="K86" s="59">
        <f t="shared" si="10"/>
        <v>55.29</v>
      </c>
      <c r="L86" s="59">
        <f t="shared" si="10"/>
        <v>55.29</v>
      </c>
      <c r="M86" s="486"/>
      <c r="N86" s="42">
        <f t="shared" si="14"/>
        <v>49.34</v>
      </c>
      <c r="O86" s="59">
        <f t="shared" si="12"/>
        <v>55.29</v>
      </c>
      <c r="P86" s="486"/>
      <c r="Q86" s="59">
        <f>IF(ROUND(ROUND(('Loonschijven_Tranches salariale'!$Q85*0.6),4)*$X$1,2)&lt;Q$8,Q$8,IF('Loonschijven_Tranches salariale'!$Q85&lt;Basisbedragen!$C$23,ROUND(ROUND(('Loonschijven_Tranches salariale'!$Q85*0.6),4)*$X$1,2),ROUND(ROUND((Basisbedragen!$C$23*0.6),4)*$X$1,2)))</f>
        <v>68.989999999999995</v>
      </c>
      <c r="R86" s="59">
        <f t="shared" si="11"/>
        <v>66.05</v>
      </c>
      <c r="S86" s="59">
        <f t="shared" si="11"/>
        <v>63.11</v>
      </c>
      <c r="T86" s="59">
        <f t="shared" si="11"/>
        <v>60.23</v>
      </c>
      <c r="U86" s="59">
        <f t="shared" si="11"/>
        <v>60.23</v>
      </c>
      <c r="V86" s="486"/>
      <c r="W86" s="234">
        <f>N86+ROUND(Basisbedragen!$C$57*$X$1,2)</f>
        <v>54.28</v>
      </c>
      <c r="X86" s="59">
        <f>O86+ROUND(Basisbedragen!$C$57*$X$1,2)</f>
        <v>60.23</v>
      </c>
    </row>
    <row r="87" spans="1:24" ht="15" thickBot="1">
      <c r="A87" s="54">
        <f>A86+1</f>
        <v>79</v>
      </c>
      <c r="B87" s="512"/>
      <c r="C87" s="59">
        <f>IF(ROUND(ROUND(('Loonschijven_Tranches salariale'!$Q86*0.65),4)*$X$1,2)&lt;C$8,C$8,ROUND(ROUND(('Loonschijven_Tranches salariale'!$Q86*0.65),4)*$X$1,2))</f>
        <v>85.81</v>
      </c>
      <c r="D87" s="59">
        <f>IF(ROUND(ROUND(('Loonschijven_Tranches salariale'!$Q86*0.6),4)*$X$1,2)&lt;D$8,D$8,ROUND(ROUND(('Loonschijven_Tranches salariale'!$Q86*0.6),4)*$X$1,2))</f>
        <v>79.209999999999994</v>
      </c>
      <c r="E87" s="59">
        <f>IF(ROUND(ROUND(('Loonschijven_Tranches salariale'!$Q86*0.6),4)*$X$1,2)&lt;E$8,E$8,IF('Loonschijven_Tranches salariale'!$Q86&lt;Basisbedragen!$C$24,ROUND(ROUND(('Loonschijven_Tranches salariale'!$Q86*0.6),4)*$X$1,2),ROUND(ROUND((Basisbedragen!$C$24*0.6),4)*$X$1,2)))</f>
        <v>73.819999999999993</v>
      </c>
      <c r="F87" s="512"/>
      <c r="G87" s="59">
        <f>IF(ROUND(ROUND(('Loonschijven_Tranches salariale'!$Q86*0.6),4)*$X$1,2)&lt;G$8,G$8,IF('Loonschijven_Tranches salariale'!$Q86&lt;Basisbedragen!$C$23,ROUND(ROUND(('Loonschijven_Tranches salariale'!$Q86*0.6),4)*$X$1,2),ROUND(ROUND((Basisbedragen!$C$23*0.6),4)*$X$1,2)))</f>
        <v>68.989999999999995</v>
      </c>
      <c r="H87" s="59">
        <f>IF(ROUND(ROUND(('Loonschijven_Tranches salariale'!$Q86*0.55),4)*$X$1,2)&lt;H$8,H$8,IF('Loonschijven_Tranches salariale'!$Q86&lt;Basisbedragen!$C$27,ROUND(ROUND(('Loonschijven_Tranches salariale'!$Q86*0.55),4)*$X$1,2),ROUND(ROUND((Basisbedragen!$C$27*0.55),4)*$X$1,2)))</f>
        <v>61.86</v>
      </c>
      <c r="I87" s="59">
        <f t="shared" si="10"/>
        <v>59.36</v>
      </c>
      <c r="J87" s="59">
        <f t="shared" si="10"/>
        <v>56.85</v>
      </c>
      <c r="K87" s="59">
        <f t="shared" si="10"/>
        <v>55.29</v>
      </c>
      <c r="L87" s="59">
        <f t="shared" si="10"/>
        <v>55.29</v>
      </c>
      <c r="M87" s="512"/>
      <c r="N87" s="42">
        <f t="shared" si="14"/>
        <v>49.34</v>
      </c>
      <c r="O87" s="59">
        <f t="shared" si="12"/>
        <v>55.29</v>
      </c>
      <c r="P87" s="512"/>
      <c r="Q87" s="59">
        <f>IF(ROUND(ROUND(('Loonschijven_Tranches salariale'!$Q86*0.6),4)*$X$1,2)&lt;Q$8,Q$8,IF('Loonschijven_Tranches salariale'!$Q86&lt;Basisbedragen!$C$23,ROUND(ROUND(('Loonschijven_Tranches salariale'!$Q86*0.6),4)*$X$1,2),ROUND(ROUND((Basisbedragen!$C$23*0.6),4)*$X$1,2)))</f>
        <v>68.989999999999995</v>
      </c>
      <c r="R87" s="59">
        <f t="shared" si="11"/>
        <v>66.05</v>
      </c>
      <c r="S87" s="59">
        <f t="shared" si="11"/>
        <v>63.11</v>
      </c>
      <c r="T87" s="59">
        <f t="shared" si="11"/>
        <v>60.23</v>
      </c>
      <c r="U87" s="59">
        <f t="shared" si="11"/>
        <v>60.23</v>
      </c>
      <c r="V87" s="512"/>
      <c r="W87" s="234">
        <f>N87+ROUND(Basisbedragen!$C$57*$X$1,2)</f>
        <v>54.28</v>
      </c>
      <c r="X87" s="59">
        <f>O87+ROUND(Basisbedragen!$C$57*$X$1,2)</f>
        <v>60.23</v>
      </c>
    </row>
  </sheetData>
  <sheetProtection algorithmName="SHA-512" hashValue="eJsfJtzpn5h/gRFFbqMEQv8GqIUD/Wt50PnaMzejr7ssv31/4AMy31LT29cvncQZv2u8KmRixGIlDuDwA7/qYg==" saltValue="4Lb78/cMJGPqJJxcQu8Eow==" spinCount="100000" sheet="1" objects="1" scenarios="1"/>
  <mergeCells count="7">
    <mergeCell ref="C1:R1"/>
    <mergeCell ref="C3:E3"/>
    <mergeCell ref="C4:E4"/>
    <mergeCell ref="H4:L4"/>
    <mergeCell ref="Q3:U3"/>
    <mergeCell ref="C2:R2"/>
    <mergeCell ref="G3:L3"/>
  </mergeCells>
  <conditionalFormatting sqref="D9:E11 E10:E87">
    <cfRule type="cellIs" dxfId="28" priority="25" operator="lessThan">
      <formula>D$8</formula>
    </cfRule>
  </conditionalFormatting>
  <conditionalFormatting sqref="C81:D82 C9:E80 E74:E85 I10:L85 G9:L68 G69:H85 Q9:U68 R9:U85 Q69:Q85 O9:O87 C83:E87 G86:L87 Q86:U87">
    <cfRule type="expression" dxfId="27" priority="18">
      <formula>MOD(INDIRECT(ADDRESS(ROW(),1)),5)=0</formula>
    </cfRule>
  </conditionalFormatting>
  <conditionalFormatting sqref="R81:U82">
    <cfRule type="expression" dxfId="26" priority="12">
      <formula>MOD(INDIRECT(ADDRESS(ROW(),1)),5)=0</formula>
    </cfRule>
  </conditionalFormatting>
  <conditionalFormatting sqref="X9:X87">
    <cfRule type="expression" dxfId="25" priority="5">
      <formula>MOD(INDIRECT(ADDRESS(ROW(),1)),5)=0</formula>
    </cfRule>
  </conditionalFormatting>
  <pageMargins left="0.23622047244094491" right="0.23622047244094491" top="0.15748031496062992" bottom="0.31496062992125984" header="0.15748031496062992" footer="0.15748031496062992"/>
  <pageSetup paperSize="9" scale="73" fitToWidth="0" orientation="landscape" r:id="rId1"/>
  <headerFooter>
    <oddFooter>&amp;L&amp;10Rijksdienst voor Arbeidsvoorziening&amp;R&amp;10Office national de l'Emploi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87"/>
  <sheetViews>
    <sheetView showGridLines="0" zoomScaleNormal="100"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 outlineLevelCol="2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4" max="14" width="8.88671875" hidden="1" customWidth="1" outlineLevel="2"/>
    <col min="15" max="15" width="8.88671875" collapsed="1"/>
    <col min="16" max="16" width="0.6640625" customWidth="1"/>
    <col min="21" max="21" width="9.109375" customWidth="1"/>
    <col min="22" max="22" width="0.6640625" customWidth="1"/>
    <col min="23" max="23" width="0" hidden="1" customWidth="1" outlineLevel="1"/>
    <col min="24" max="24" width="9.109375" collapsed="1"/>
    <col min="27" max="27" width="9.109375" customWidth="1"/>
    <col min="28" max="28" width="0.6640625" customWidth="1"/>
    <col min="29" max="29" width="8.88671875" customWidth="1"/>
    <col min="30" max="30" width="8.88671875"/>
    <col min="31" max="31" width="0.6640625" customWidth="1"/>
    <col min="47" max="47" width="9.109375" style="83"/>
  </cols>
  <sheetData>
    <row r="1" spans="1:47" ht="15" customHeight="1">
      <c r="A1" s="44" t="s">
        <v>33</v>
      </c>
      <c r="C1" s="600" t="s">
        <v>44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532" t="s">
        <v>34</v>
      </c>
      <c r="V1" s="532"/>
      <c r="W1" s="532"/>
      <c r="X1" s="81"/>
      <c r="Y1" s="497">
        <f>Basisbedragen!$H$2</f>
        <v>1.7410000000000001</v>
      </c>
      <c r="AA1" s="600"/>
      <c r="AB1" s="600"/>
      <c r="AC1" s="600"/>
      <c r="AD1" s="600"/>
      <c r="AE1" s="600"/>
      <c r="AF1" s="600"/>
      <c r="AG1" s="600"/>
      <c r="AH1" s="600"/>
      <c r="AI1" s="99"/>
      <c r="AJ1" s="99"/>
      <c r="AK1" s="601"/>
      <c r="AL1" s="601"/>
      <c r="AM1" s="88"/>
      <c r="AN1" s="88"/>
      <c r="AP1" s="83"/>
      <c r="AU1"/>
    </row>
    <row r="2" spans="1:47" ht="15.6">
      <c r="A2" s="490">
        <f>A!A2</f>
        <v>45689</v>
      </c>
      <c r="C2" s="600" t="s">
        <v>55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111"/>
      <c r="V2" s="45"/>
      <c r="AF2" s="600"/>
      <c r="AG2" s="600"/>
      <c r="AH2" s="600"/>
      <c r="AI2" s="600"/>
      <c r="AJ2" s="600"/>
      <c r="AK2" s="600"/>
      <c r="AL2" s="600"/>
      <c r="AM2" s="600"/>
    </row>
    <row r="3" spans="1:47" ht="15" thickBot="1">
      <c r="A3" s="46"/>
      <c r="C3" s="597" t="s">
        <v>47</v>
      </c>
      <c r="D3" s="597"/>
      <c r="E3" s="597"/>
      <c r="F3" s="429"/>
      <c r="G3" s="597" t="s">
        <v>48</v>
      </c>
      <c r="H3" s="597"/>
      <c r="I3" s="597"/>
      <c r="J3" s="597"/>
      <c r="K3" s="597"/>
      <c r="L3" s="597"/>
      <c r="M3" s="429"/>
      <c r="N3" s="429"/>
      <c r="O3" s="435" t="s">
        <v>37</v>
      </c>
      <c r="P3" s="435"/>
      <c r="Q3" s="597" t="s">
        <v>50</v>
      </c>
      <c r="R3" s="597"/>
      <c r="S3" s="597"/>
      <c r="T3" s="597"/>
      <c r="U3" s="597"/>
      <c r="V3" s="435"/>
      <c r="W3" s="435"/>
      <c r="X3" s="430" t="s">
        <v>37</v>
      </c>
      <c r="AO3" s="83"/>
      <c r="AU3"/>
    </row>
    <row r="4" spans="1:47" ht="26.25" customHeight="1" thickBot="1">
      <c r="A4" s="46"/>
      <c r="C4" s="597"/>
      <c r="D4" s="597"/>
      <c r="E4" s="597"/>
      <c r="F4" s="429"/>
      <c r="G4" s="429"/>
      <c r="H4" s="597"/>
      <c r="I4" s="597"/>
      <c r="J4" s="597"/>
      <c r="K4" s="597"/>
      <c r="L4" s="597"/>
      <c r="M4" s="429"/>
      <c r="N4" s="429"/>
      <c r="O4" s="436" t="s">
        <v>49</v>
      </c>
      <c r="P4" s="435"/>
      <c r="Q4" s="602" t="s">
        <v>38</v>
      </c>
      <c r="R4" s="603"/>
      <c r="S4" s="603"/>
      <c r="T4" s="603"/>
      <c r="U4" s="604"/>
      <c r="V4" s="434"/>
      <c r="W4" s="434"/>
      <c r="X4" s="436" t="s">
        <v>56</v>
      </c>
      <c r="AO4" s="83"/>
      <c r="AU4"/>
    </row>
    <row r="5" spans="1:47" ht="41.4" thickBot="1">
      <c r="A5" s="100" t="s">
        <v>35</v>
      </c>
      <c r="C5" s="55" t="s">
        <v>12</v>
      </c>
      <c r="D5" s="56" t="s">
        <v>11</v>
      </c>
      <c r="E5" s="55" t="s">
        <v>13</v>
      </c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N5" s="414" t="s">
        <v>316</v>
      </c>
      <c r="O5" s="56" t="s">
        <v>62</v>
      </c>
      <c r="Q5" s="56" t="s">
        <v>267</v>
      </c>
      <c r="R5" s="56" t="s">
        <v>39</v>
      </c>
      <c r="S5" s="56" t="s">
        <v>40</v>
      </c>
      <c r="T5" s="56" t="s">
        <v>41</v>
      </c>
      <c r="U5" s="56" t="s">
        <v>42</v>
      </c>
      <c r="W5" s="414" t="s">
        <v>319</v>
      </c>
      <c r="X5" s="56" t="s">
        <v>242</v>
      </c>
      <c r="AO5" s="83"/>
      <c r="AU5"/>
    </row>
    <row r="6" spans="1:47" ht="15" hidden="1" thickBot="1">
      <c r="A6" s="92"/>
      <c r="C6" s="95"/>
      <c r="D6" s="92"/>
      <c r="E6" s="92"/>
      <c r="H6" s="92"/>
      <c r="I6" s="92">
        <v>1</v>
      </c>
      <c r="J6" s="92">
        <v>2</v>
      </c>
      <c r="K6" s="92">
        <v>3</v>
      </c>
      <c r="L6" s="92">
        <v>4</v>
      </c>
      <c r="O6" s="92"/>
      <c r="Q6" s="92"/>
      <c r="R6" s="92">
        <v>1</v>
      </c>
      <c r="S6" s="92">
        <v>2</v>
      </c>
      <c r="T6" s="92">
        <v>3</v>
      </c>
      <c r="U6" s="92">
        <v>4</v>
      </c>
      <c r="X6" s="92"/>
      <c r="AO6" s="83"/>
      <c r="AU6"/>
    </row>
    <row r="7" spans="1:47" s="82" customFormat="1" ht="15" thickBot="1">
      <c r="A7" s="93"/>
      <c r="B7"/>
      <c r="C7" s="96">
        <v>0.65</v>
      </c>
      <c r="D7" s="97">
        <v>0.6</v>
      </c>
      <c r="E7" s="97">
        <v>0.6</v>
      </c>
      <c r="F7"/>
      <c r="G7" s="97">
        <v>0.6</v>
      </c>
      <c r="H7" s="97">
        <v>0.4</v>
      </c>
      <c r="I7" s="93"/>
      <c r="J7" s="93"/>
      <c r="K7" s="93"/>
      <c r="L7" s="93"/>
      <c r="M7"/>
      <c r="N7"/>
      <c r="O7" s="93"/>
      <c r="P7"/>
      <c r="Q7" s="97">
        <v>0.55000000000000004</v>
      </c>
      <c r="R7" s="93"/>
      <c r="S7" s="93"/>
      <c r="T7" s="93"/>
      <c r="U7" s="93"/>
      <c r="V7"/>
      <c r="W7"/>
      <c r="X7" s="93"/>
      <c r="Y7"/>
      <c r="AO7" s="89"/>
    </row>
    <row r="8" spans="1:47" s="87" customFormat="1" ht="15" thickBot="1">
      <c r="A8" s="94" t="s">
        <v>4</v>
      </c>
      <c r="B8"/>
      <c r="C8" s="98">
        <f>ROUND(Basisbedragen!$C$37*$Y$1,2)</f>
        <v>53.22</v>
      </c>
      <c r="D8" s="98">
        <f>ROUND(Basisbedragen!$C$38*$Y$1,2)</f>
        <v>49.13</v>
      </c>
      <c r="E8" s="98">
        <f>$D$8</f>
        <v>49.13</v>
      </c>
      <c r="F8"/>
      <c r="G8" s="98">
        <f>$D$8</f>
        <v>49.13</v>
      </c>
      <c r="H8" s="98">
        <f>ROUND(Basisbedragen!$C$39*$Y$1,2)</f>
        <v>40.72</v>
      </c>
      <c r="I8" s="98">
        <f>ROUND($H$8-(I$6*($H$8-$O$9)/5),2)</f>
        <v>38.31</v>
      </c>
      <c r="J8" s="98">
        <f t="shared" ref="J8:L8" si="0">ROUND($H$8-(J$6*($H$8-$O$9)/5),2)</f>
        <v>35.909999999999997</v>
      </c>
      <c r="K8" s="98">
        <f t="shared" si="0"/>
        <v>33.5</v>
      </c>
      <c r="L8" s="98">
        <f t="shared" si="0"/>
        <v>31.1</v>
      </c>
      <c r="M8"/>
      <c r="N8"/>
      <c r="O8" s="98"/>
      <c r="P8"/>
      <c r="Q8" s="98">
        <f>ROUND(Basisbedragen!$C$60*$Y$1,2)</f>
        <v>54.55</v>
      </c>
      <c r="R8" s="98">
        <f>MIN(R9:R86)</f>
        <v>49.84</v>
      </c>
      <c r="S8" s="98">
        <f t="shared" ref="S8:U8" si="1">MIN(S9:S86)</f>
        <v>45.13</v>
      </c>
      <c r="T8" s="98">
        <f t="shared" si="1"/>
        <v>40.42</v>
      </c>
      <c r="U8" s="98">
        <f t="shared" si="1"/>
        <v>35.71</v>
      </c>
      <c r="V8"/>
      <c r="W8"/>
      <c r="X8" s="418"/>
      <c r="Y8"/>
      <c r="AO8" s="90"/>
    </row>
    <row r="9" spans="1:47" ht="15" hidden="1" outlineLevel="1" thickBot="1">
      <c r="A9" s="54">
        <v>1</v>
      </c>
      <c r="C9" s="59">
        <f>IF(ROUND(ROUND(('Loonschijven_Tranches salariale'!$Q8*0.65),4)*$Y$1,2)&lt;C$8,C$8,ROUND(ROUND(('Loonschijven_Tranches salariale'!$Q8*0.65),4)*$Y$1,2))</f>
        <v>53.22</v>
      </c>
      <c r="D9" s="59">
        <f>IF(ROUND(ROUND(('Loonschijven_Tranches salariale'!$Q8*0.6),4)*$Y$1,2)&lt;D$8,D$8,ROUND(ROUND(('Loonschijven_Tranches salariale'!$Q8*0.6),4)*$Y$1,2))</f>
        <v>49.13</v>
      </c>
      <c r="E9" s="59">
        <f>IF(ROUND(ROUND(('Loonschijven_Tranches salariale'!$Q8*0.6),4)*$Y$1,2)&lt;E$8,E$8,IF('Loonschijven_Tranches salariale'!$Q8&lt;Basisbedragen!$C$24,ROUND(ROUND(('Loonschijven_Tranches salariale'!$Q8*0.6),4)*$Y$1,2),ROUND(ROUND((Basisbedragen!$C$24*0.6),4)*$Y$1,2)))</f>
        <v>49.13</v>
      </c>
      <c r="G9" s="59">
        <f>IF(ROUND(ROUND(('Loonschijven_Tranches salariale'!$Q8*0.6),4)*$Y$1,2)&lt;G$8,G$8,IF('Loonschijven_Tranches salariale'!$Q8&lt;Basisbedragen!$C$23,ROUND(ROUND(('Loonschijven_Tranches salariale'!$Q8*0.6),4)*$Y$1,2),ROUND(ROUND((Basisbedragen!$C$23*0.6),4)*$Y$1,2)))</f>
        <v>49.13</v>
      </c>
      <c r="H9" s="59">
        <f>IF(ROUND(ROUND(('Loonschijven_Tranches salariale'!$Q8*0.4),4)*$Y$1,2)&lt;H$8,H$8,IF('Loonschijven_Tranches salariale'!$Q8&lt;Basisbedragen!$C$23,ROUND(ROUND(('Loonschijven_Tranches salariale'!$Q8*0.4),4)*$Y$1,2),ROUND(ROUND((Basisbedragen!$C$23*0.4),4)*$Y$1,2)))</f>
        <v>40.72</v>
      </c>
      <c r="I9" s="59">
        <f>IF(ROUND($H9-(I$6*($H9-$N$9)/5),2)&lt;I$8,I$8,ROUND($H9-(I$6*($H9-$N$9)/5),2))</f>
        <v>38.31</v>
      </c>
      <c r="J9" s="59">
        <f t="shared" ref="J9:L24" si="2">IF(ROUND($H9-(J$6*($H9-$N$9)/5),2)&lt;J$8,J$8,ROUND($H9-(J$6*($H9-$N$9)/5),2))</f>
        <v>35.909999999999997</v>
      </c>
      <c r="K9" s="59">
        <f t="shared" si="2"/>
        <v>33.5</v>
      </c>
      <c r="L9" s="59">
        <f t="shared" si="2"/>
        <v>31.1</v>
      </c>
      <c r="N9" s="234">
        <f>ROUND(Basisbedragen!$C$44*$Y$1,2)</f>
        <v>26.06</v>
      </c>
      <c r="O9" s="59">
        <f>ROUND(Basisbedragen!$C$29*$Y$1,2)</f>
        <v>28.69</v>
      </c>
      <c r="Q9" s="59">
        <f>IF(ROUND(ROUND(('Loonschijven_Tranches salariale'!$Q8*0.55),4)*$Y$1,2)&lt;Q$8,Q$8,IF('Loonschijven_Tranches salariale'!$Q8&lt;Basisbedragen!$C$23,ROUND(ROUND(('Loonschijven_Tranches salariale'!$Q8*0.55),4)*$Y$1,2),ROUND(ROUND((Basisbedragen!$C$23*0.55),4)*$Y$1,2)))</f>
        <v>54.55</v>
      </c>
      <c r="R9" s="59">
        <f t="shared" ref="R9:U28" si="3">IF(ROUND($Q9-(R$6*($Q9-$W9)/5),2)&lt;$X9,$X9,ROUND($Q9-(R$6*($Q9-$W9)/5),2))</f>
        <v>49.84</v>
      </c>
      <c r="S9" s="59">
        <f t="shared" si="3"/>
        <v>45.13</v>
      </c>
      <c r="T9" s="59">
        <f t="shared" si="3"/>
        <v>40.42</v>
      </c>
      <c r="U9" s="59">
        <f t="shared" si="3"/>
        <v>35.71</v>
      </c>
      <c r="W9" s="234">
        <f>N9+ROUND(Basisbedragen!$C$57*$Y$1,2)</f>
        <v>31</v>
      </c>
      <c r="X9" s="59">
        <f>$O9+ROUND(Basisbedragen!$C$57*$Y$1,2)</f>
        <v>33.630000000000003</v>
      </c>
      <c r="AO9" s="83"/>
      <c r="AU9"/>
    </row>
    <row r="10" spans="1:47" ht="15" hidden="1" outlineLevel="1" thickBot="1">
      <c r="A10" s="54">
        <f>A9+1</f>
        <v>2</v>
      </c>
      <c r="C10" s="59">
        <f>IF(ROUND(ROUND(('Loonschijven_Tranches salariale'!$Q9*0.65),4)*$Y$1,2)&lt;C$8,C$8,ROUND(ROUND(('Loonschijven_Tranches salariale'!$Q9*0.65),4)*$Y$1,2))</f>
        <v>53.22</v>
      </c>
      <c r="D10" s="59">
        <f>IF(ROUND(ROUND(('Loonschijven_Tranches salariale'!$Q9*0.6),4)*$Y$1,2)&lt;D$8,D$8,ROUND(ROUND(('Loonschijven_Tranches salariale'!$Q9*0.6),4)*$Y$1,2))</f>
        <v>49.13</v>
      </c>
      <c r="E10" s="59">
        <f>IF(ROUND(ROUND(('Loonschijven_Tranches salariale'!$Q9*0.6),4)*$Y$1,2)&lt;E$8,E$8,IF('Loonschijven_Tranches salariale'!$Q9&lt;Basisbedragen!$C$24,ROUND(ROUND(('Loonschijven_Tranches salariale'!$Q9*0.6),4)*$Y$1,2),ROUND(ROUND((Basisbedragen!$C$24*0.6),4)*$Y$1,2)))</f>
        <v>49.13</v>
      </c>
      <c r="G10" s="59">
        <f>IF(ROUND(ROUND(('Loonschijven_Tranches salariale'!$Q9*0.6),4)*$Y$1,2)&lt;G$8,G$8,IF('Loonschijven_Tranches salariale'!$Q9&lt;Basisbedragen!$C$23,ROUND(ROUND(('Loonschijven_Tranches salariale'!$Q9*0.6),4)*$Y$1,2),ROUND(ROUND((Basisbedragen!$C$23*0.6),4)*$Y$1,2)))</f>
        <v>49.13</v>
      </c>
      <c r="H10" s="59">
        <f>IF(ROUND(ROUND(('Loonschijven_Tranches salariale'!$Q9*0.4),4)*$Y$1,2)&lt;H$8,H$8,IF('Loonschijven_Tranches salariale'!$Q9&lt;Basisbedragen!$C$23,ROUND(ROUND(('Loonschijven_Tranches salariale'!$Q9*0.4),4)*$Y$1,2),ROUND(ROUND((Basisbedragen!$C$23*0.4),4)*$Y$1,2)))</f>
        <v>40.72</v>
      </c>
      <c r="I10" s="59">
        <f t="shared" ref="I10:L41" si="4">IF(ROUND($H10-(I$6*($H10-$N$9)/5),2)&lt;I$8,I$8,ROUND($H10-(I$6*($H10-$N$9)/5),2))</f>
        <v>38.31</v>
      </c>
      <c r="J10" s="59">
        <f t="shared" si="2"/>
        <v>35.909999999999997</v>
      </c>
      <c r="K10" s="59">
        <f t="shared" si="2"/>
        <v>33.5</v>
      </c>
      <c r="L10" s="59">
        <f t="shared" si="2"/>
        <v>31.1</v>
      </c>
      <c r="N10" s="234">
        <f>$N$9</f>
        <v>26.06</v>
      </c>
      <c r="O10" s="59">
        <f t="shared" ref="O10:O41" si="5">$O$9</f>
        <v>28.69</v>
      </c>
      <c r="Q10" s="59">
        <f>IF(ROUND(ROUND(('Loonschijven_Tranches salariale'!$Q9*0.55),4)*$Y$1,2)&lt;Q$8,Q$8,IF('Loonschijven_Tranches salariale'!$Q9&lt;Basisbedragen!$C$23,ROUND(ROUND(('Loonschijven_Tranches salariale'!$Q9*0.55),4)*$Y$1,2),ROUND(ROUND((Basisbedragen!$C$23*0.55),4)*$Y$1,2)))</f>
        <v>54.55</v>
      </c>
      <c r="R10" s="59">
        <f t="shared" si="3"/>
        <v>49.84</v>
      </c>
      <c r="S10" s="59">
        <f t="shared" si="3"/>
        <v>45.13</v>
      </c>
      <c r="T10" s="59">
        <f t="shared" si="3"/>
        <v>40.42</v>
      </c>
      <c r="U10" s="59">
        <f t="shared" si="3"/>
        <v>35.71</v>
      </c>
      <c r="W10" s="234">
        <f>N10+ROUND(Basisbedragen!$C$57*$Y$1,2)</f>
        <v>31</v>
      </c>
      <c r="X10" s="59">
        <f>$O10+ROUND(Basisbedragen!$C$57*$Y$1,2)</f>
        <v>33.630000000000003</v>
      </c>
      <c r="AO10" s="83"/>
      <c r="AU10"/>
    </row>
    <row r="11" spans="1:47" ht="15" hidden="1" outlineLevel="1" thickBot="1">
      <c r="A11" s="54">
        <f t="shared" ref="A11:A74" si="6">A10+1</f>
        <v>3</v>
      </c>
      <c r="C11" s="59">
        <f>IF(ROUND(ROUND(('Loonschijven_Tranches salariale'!$Q10*0.65),4)*$Y$1,2)&lt;C$8,C$8,ROUND(ROUND(('Loonschijven_Tranches salariale'!$Q10*0.65),4)*$Y$1,2))</f>
        <v>53.22</v>
      </c>
      <c r="D11" s="59">
        <f>IF(ROUND(ROUND(('Loonschijven_Tranches salariale'!$Q10*0.6),4)*$Y$1,2)&lt;D$8,D$8,ROUND(ROUND(('Loonschijven_Tranches salariale'!$Q10*0.6),4)*$Y$1,2))</f>
        <v>49.13</v>
      </c>
      <c r="E11" s="59">
        <f>IF(ROUND(ROUND(('Loonschijven_Tranches salariale'!$Q10*0.6),4)*$Y$1,2)&lt;E$8,E$8,IF('Loonschijven_Tranches salariale'!$Q10&lt;Basisbedragen!$C$24,ROUND(ROUND(('Loonschijven_Tranches salariale'!$Q10*0.6),4)*$Y$1,2),ROUND(ROUND((Basisbedragen!$C$24*0.6),4)*$Y$1,2)))</f>
        <v>49.13</v>
      </c>
      <c r="G11" s="59">
        <f>IF(ROUND(ROUND(('Loonschijven_Tranches salariale'!$Q10*0.6),4)*$Y$1,2)&lt;G$8,G$8,IF('Loonschijven_Tranches salariale'!$Q10&lt;Basisbedragen!$C$23,ROUND(ROUND(('Loonschijven_Tranches salariale'!$Q10*0.6),4)*$Y$1,2),ROUND(ROUND((Basisbedragen!$C$23*0.6),4)*$Y$1,2)))</f>
        <v>49.13</v>
      </c>
      <c r="H11" s="59">
        <f>IF(ROUND(ROUND(('Loonschijven_Tranches salariale'!$Q10*0.4),4)*$Y$1,2)&lt;H$8,H$8,IF('Loonschijven_Tranches salariale'!$Q10&lt;Basisbedragen!$C$23,ROUND(ROUND(('Loonschijven_Tranches salariale'!$Q10*0.4),4)*$Y$1,2),ROUND(ROUND((Basisbedragen!$C$23*0.4),4)*$Y$1,2)))</f>
        <v>40.72</v>
      </c>
      <c r="I11" s="59">
        <f t="shared" si="4"/>
        <v>38.31</v>
      </c>
      <c r="J11" s="59">
        <f t="shared" si="2"/>
        <v>35.909999999999997</v>
      </c>
      <c r="K11" s="59">
        <f t="shared" si="2"/>
        <v>33.5</v>
      </c>
      <c r="L11" s="59">
        <f t="shared" si="2"/>
        <v>31.1</v>
      </c>
      <c r="N11" s="234">
        <f t="shared" ref="N11:N74" si="7">$N$9</f>
        <v>26.06</v>
      </c>
      <c r="O11" s="59">
        <f t="shared" si="5"/>
        <v>28.69</v>
      </c>
      <c r="Q11" s="59">
        <f>IF(ROUND(ROUND(('Loonschijven_Tranches salariale'!$Q10*0.55),4)*$Y$1,2)&lt;Q$8,Q$8,IF('Loonschijven_Tranches salariale'!$Q10&lt;Basisbedragen!$C$23,ROUND(ROUND(('Loonschijven_Tranches salariale'!$Q10*0.55),4)*$Y$1,2),ROUND(ROUND((Basisbedragen!$C$23*0.55),4)*$Y$1,2)))</f>
        <v>54.55</v>
      </c>
      <c r="R11" s="59">
        <f t="shared" si="3"/>
        <v>49.84</v>
      </c>
      <c r="S11" s="59">
        <f t="shared" si="3"/>
        <v>45.13</v>
      </c>
      <c r="T11" s="59">
        <f t="shared" si="3"/>
        <v>40.42</v>
      </c>
      <c r="U11" s="59">
        <f t="shared" si="3"/>
        <v>35.71</v>
      </c>
      <c r="W11" s="234">
        <f>N11+ROUND(Basisbedragen!$C$57*$Y$1,2)</f>
        <v>31</v>
      </c>
      <c r="X11" s="59">
        <f>$O11+ROUND(Basisbedragen!$C$57*$Y$1,2)</f>
        <v>33.630000000000003</v>
      </c>
      <c r="AO11" s="83"/>
      <c r="AU11"/>
    </row>
    <row r="12" spans="1:47" ht="15" hidden="1" outlineLevel="1" thickBot="1">
      <c r="A12" s="54">
        <f t="shared" si="6"/>
        <v>4</v>
      </c>
      <c r="C12" s="59">
        <f>IF(ROUND(ROUND(('Loonschijven_Tranches salariale'!$Q11*0.65),4)*$Y$1,2)&lt;C$8,C$8,ROUND(ROUND(('Loonschijven_Tranches salariale'!$Q11*0.65),4)*$Y$1,2))</f>
        <v>53.22</v>
      </c>
      <c r="D12" s="59">
        <f>IF(ROUND(ROUND(('Loonschijven_Tranches salariale'!$Q11*0.6),4)*$Y$1,2)&lt;D$8,D$8,ROUND(ROUND(('Loonschijven_Tranches salariale'!$Q11*0.6),4)*$Y$1,2))</f>
        <v>49.13</v>
      </c>
      <c r="E12" s="59">
        <f>IF(ROUND(ROUND(('Loonschijven_Tranches salariale'!$Q11*0.6),4)*$Y$1,2)&lt;E$8,E$8,IF('Loonschijven_Tranches salariale'!$Q11&lt;Basisbedragen!$C$24,ROUND(ROUND(('Loonschijven_Tranches salariale'!$Q11*0.6),4)*$Y$1,2),ROUND(ROUND((Basisbedragen!$C$24*0.6),4)*$Y$1,2)))</f>
        <v>49.13</v>
      </c>
      <c r="G12" s="59">
        <f>IF(ROUND(ROUND(('Loonschijven_Tranches salariale'!$Q11*0.6),4)*$Y$1,2)&lt;G$8,G$8,IF('Loonschijven_Tranches salariale'!$Q11&lt;Basisbedragen!$C$23,ROUND(ROUND(('Loonschijven_Tranches salariale'!$Q11*0.6),4)*$Y$1,2),ROUND(ROUND((Basisbedragen!$C$23*0.6),4)*$Y$1,2)))</f>
        <v>49.13</v>
      </c>
      <c r="H12" s="59">
        <f>IF(ROUND(ROUND(('Loonschijven_Tranches salariale'!$Q11*0.4),4)*$Y$1,2)&lt;H$8,H$8,IF('Loonschijven_Tranches salariale'!$Q11&lt;Basisbedragen!$C$23,ROUND(ROUND(('Loonschijven_Tranches salariale'!$Q11*0.4),4)*$Y$1,2),ROUND(ROUND((Basisbedragen!$C$23*0.4),4)*$Y$1,2)))</f>
        <v>40.72</v>
      </c>
      <c r="I12" s="59">
        <f t="shared" si="4"/>
        <v>38.31</v>
      </c>
      <c r="J12" s="59">
        <f t="shared" si="2"/>
        <v>35.909999999999997</v>
      </c>
      <c r="K12" s="59">
        <f t="shared" si="2"/>
        <v>33.5</v>
      </c>
      <c r="L12" s="59">
        <f t="shared" si="2"/>
        <v>31.1</v>
      </c>
      <c r="N12" s="234">
        <f t="shared" si="7"/>
        <v>26.06</v>
      </c>
      <c r="O12" s="59">
        <f t="shared" si="5"/>
        <v>28.69</v>
      </c>
      <c r="Q12" s="59">
        <f>IF(ROUND(ROUND(('Loonschijven_Tranches salariale'!$Q11*0.55),4)*$Y$1,2)&lt;Q$8,Q$8,IF('Loonschijven_Tranches salariale'!$Q11&lt;Basisbedragen!$C$23,ROUND(ROUND(('Loonschijven_Tranches salariale'!$Q11*0.55),4)*$Y$1,2),ROUND(ROUND((Basisbedragen!$C$23*0.55),4)*$Y$1,2)))</f>
        <v>54.55</v>
      </c>
      <c r="R12" s="59">
        <f t="shared" si="3"/>
        <v>49.84</v>
      </c>
      <c r="S12" s="59">
        <f t="shared" si="3"/>
        <v>45.13</v>
      </c>
      <c r="T12" s="59">
        <f t="shared" si="3"/>
        <v>40.42</v>
      </c>
      <c r="U12" s="59">
        <f t="shared" si="3"/>
        <v>35.71</v>
      </c>
      <c r="W12" s="234">
        <f>N12+ROUND(Basisbedragen!$C$57*$Y$1,2)</f>
        <v>31</v>
      </c>
      <c r="X12" s="59">
        <f>$O12+ROUND(Basisbedragen!$C$57*$Y$1,2)</f>
        <v>33.630000000000003</v>
      </c>
      <c r="AO12" s="83"/>
      <c r="AU12"/>
    </row>
    <row r="13" spans="1:47" ht="15" hidden="1" outlineLevel="1" thickBot="1">
      <c r="A13" s="54">
        <f t="shared" si="6"/>
        <v>5</v>
      </c>
      <c r="C13" s="59">
        <f>IF(ROUND(ROUND(('Loonschijven_Tranches salariale'!$Q12*0.65),4)*$Y$1,2)&lt;C$8,C$8,ROUND(ROUND(('Loonschijven_Tranches salariale'!$Q12*0.65),4)*$Y$1,2))</f>
        <v>53.22</v>
      </c>
      <c r="D13" s="59">
        <f>IF(ROUND(ROUND(('Loonschijven_Tranches salariale'!$Q12*0.6),4)*$Y$1,2)&lt;D$8,D$8,ROUND(ROUND(('Loonschijven_Tranches salariale'!$Q12*0.6),4)*$Y$1,2))</f>
        <v>49.13</v>
      </c>
      <c r="E13" s="59">
        <f>IF(ROUND(ROUND(('Loonschijven_Tranches salariale'!$Q12*0.6),4)*$Y$1,2)&lt;E$8,E$8,IF('Loonschijven_Tranches salariale'!$Q12&lt;Basisbedragen!$C$24,ROUND(ROUND(('Loonschijven_Tranches salariale'!$Q12*0.6),4)*$Y$1,2),ROUND(ROUND((Basisbedragen!$C$24*0.6),4)*$Y$1,2)))</f>
        <v>49.13</v>
      </c>
      <c r="G13" s="59">
        <f>IF(ROUND(ROUND(('Loonschijven_Tranches salariale'!$Q12*0.6),4)*$Y$1,2)&lt;G$8,G$8,IF('Loonschijven_Tranches salariale'!$Q12&lt;Basisbedragen!$C$23,ROUND(ROUND(('Loonschijven_Tranches salariale'!$Q12*0.6),4)*$Y$1,2),ROUND(ROUND((Basisbedragen!$C$23*0.6),4)*$Y$1,2)))</f>
        <v>49.13</v>
      </c>
      <c r="H13" s="59">
        <f>IF(ROUND(ROUND(('Loonschijven_Tranches salariale'!$Q12*0.4),4)*$Y$1,2)&lt;H$8,H$8,IF('Loonschijven_Tranches salariale'!$Q12&lt;Basisbedragen!$C$23,ROUND(ROUND(('Loonschijven_Tranches salariale'!$Q12*0.4),4)*$Y$1,2),ROUND(ROUND((Basisbedragen!$C$23*0.4),4)*$Y$1,2)))</f>
        <v>40.72</v>
      </c>
      <c r="I13" s="59">
        <f t="shared" si="4"/>
        <v>38.31</v>
      </c>
      <c r="J13" s="59">
        <f t="shared" si="2"/>
        <v>35.909999999999997</v>
      </c>
      <c r="K13" s="59">
        <f t="shared" si="2"/>
        <v>33.5</v>
      </c>
      <c r="L13" s="59">
        <f t="shared" si="2"/>
        <v>31.1</v>
      </c>
      <c r="N13" s="234">
        <f t="shared" si="7"/>
        <v>26.06</v>
      </c>
      <c r="O13" s="59">
        <f t="shared" si="5"/>
        <v>28.69</v>
      </c>
      <c r="Q13" s="59">
        <f>IF(ROUND(ROUND(('Loonschijven_Tranches salariale'!$Q12*0.55),4)*$Y$1,2)&lt;Q$8,Q$8,IF('Loonschijven_Tranches salariale'!$Q12&lt;Basisbedragen!$C$23,ROUND(ROUND(('Loonschijven_Tranches salariale'!$Q12*0.55),4)*$Y$1,2),ROUND(ROUND((Basisbedragen!$C$23*0.55),4)*$Y$1,2)))</f>
        <v>54.55</v>
      </c>
      <c r="R13" s="59">
        <f t="shared" si="3"/>
        <v>49.84</v>
      </c>
      <c r="S13" s="59">
        <f t="shared" si="3"/>
        <v>45.13</v>
      </c>
      <c r="T13" s="59">
        <f t="shared" si="3"/>
        <v>40.42</v>
      </c>
      <c r="U13" s="59">
        <f t="shared" si="3"/>
        <v>35.71</v>
      </c>
      <c r="W13" s="234">
        <f>N13+ROUND(Basisbedragen!$C$57*$Y$1,2)</f>
        <v>31</v>
      </c>
      <c r="X13" s="59">
        <f>$O13+ROUND(Basisbedragen!$C$57*$Y$1,2)</f>
        <v>33.630000000000003</v>
      </c>
      <c r="AO13" s="83"/>
      <c r="AU13"/>
    </row>
    <row r="14" spans="1:47" ht="15" hidden="1" outlineLevel="1" thickBot="1">
      <c r="A14" s="54">
        <f t="shared" si="6"/>
        <v>6</v>
      </c>
      <c r="C14" s="59">
        <f>IF(ROUND(ROUND(('Loonschijven_Tranches salariale'!$Q13*0.65),4)*$Y$1,2)&lt;C$8,C$8,ROUND(ROUND(('Loonschijven_Tranches salariale'!$Q13*0.65),4)*$Y$1,2))</f>
        <v>53.22</v>
      </c>
      <c r="D14" s="59">
        <f>IF(ROUND(ROUND(('Loonschijven_Tranches salariale'!$Q13*0.6),4)*$Y$1,2)&lt;D$8,D$8,ROUND(ROUND(('Loonschijven_Tranches salariale'!$Q13*0.6),4)*$Y$1,2))</f>
        <v>49.13</v>
      </c>
      <c r="E14" s="59">
        <f>IF(ROUND(ROUND(('Loonschijven_Tranches salariale'!$Q13*0.6),4)*$Y$1,2)&lt;E$8,E$8,IF('Loonschijven_Tranches salariale'!$Q13&lt;Basisbedragen!$C$24,ROUND(ROUND(('Loonschijven_Tranches salariale'!$Q13*0.6),4)*$Y$1,2),ROUND(ROUND((Basisbedragen!$C$24*0.6),4)*$Y$1,2)))</f>
        <v>49.13</v>
      </c>
      <c r="G14" s="59">
        <f>IF(ROUND(ROUND(('Loonschijven_Tranches salariale'!$Q13*0.6),4)*$Y$1,2)&lt;G$8,G$8,IF('Loonschijven_Tranches salariale'!$Q13&lt;Basisbedragen!$C$23,ROUND(ROUND(('Loonschijven_Tranches salariale'!$Q13*0.6),4)*$Y$1,2),ROUND(ROUND((Basisbedragen!$C$23*0.6),4)*$Y$1,2)))</f>
        <v>49.13</v>
      </c>
      <c r="H14" s="59">
        <f>IF(ROUND(ROUND(('Loonschijven_Tranches salariale'!$Q13*0.4),4)*$Y$1,2)&lt;H$8,H$8,IF('Loonschijven_Tranches salariale'!$Q13&lt;Basisbedragen!$C$23,ROUND(ROUND(('Loonschijven_Tranches salariale'!$Q13*0.4),4)*$Y$1,2),ROUND(ROUND((Basisbedragen!$C$23*0.4),4)*$Y$1,2)))</f>
        <v>40.72</v>
      </c>
      <c r="I14" s="59">
        <f t="shared" si="4"/>
        <v>38.31</v>
      </c>
      <c r="J14" s="59">
        <f t="shared" si="2"/>
        <v>35.909999999999997</v>
      </c>
      <c r="K14" s="59">
        <f t="shared" si="2"/>
        <v>33.5</v>
      </c>
      <c r="L14" s="59">
        <f t="shared" si="2"/>
        <v>31.1</v>
      </c>
      <c r="N14" s="234">
        <f t="shared" si="7"/>
        <v>26.06</v>
      </c>
      <c r="O14" s="59">
        <f t="shared" si="5"/>
        <v>28.69</v>
      </c>
      <c r="Q14" s="59">
        <f>IF(ROUND(ROUND(('Loonschijven_Tranches salariale'!$Q13*0.55),4)*$Y$1,2)&lt;Q$8,Q$8,IF('Loonschijven_Tranches salariale'!$Q13&lt;Basisbedragen!$C$23,ROUND(ROUND(('Loonschijven_Tranches salariale'!$Q13*0.55),4)*$Y$1,2),ROUND(ROUND((Basisbedragen!$C$23*0.55),4)*$Y$1,2)))</f>
        <v>54.55</v>
      </c>
      <c r="R14" s="59">
        <f t="shared" si="3"/>
        <v>49.84</v>
      </c>
      <c r="S14" s="59">
        <f t="shared" si="3"/>
        <v>45.13</v>
      </c>
      <c r="T14" s="59">
        <f t="shared" si="3"/>
        <v>40.42</v>
      </c>
      <c r="U14" s="59">
        <f t="shared" si="3"/>
        <v>35.71</v>
      </c>
      <c r="W14" s="234">
        <f>N14+ROUND(Basisbedragen!$C$57*$Y$1,2)</f>
        <v>31</v>
      </c>
      <c r="X14" s="59">
        <f>$O14+ROUND(Basisbedragen!$C$57*$Y$1,2)</f>
        <v>33.630000000000003</v>
      </c>
      <c r="AO14" s="83"/>
      <c r="AU14"/>
    </row>
    <row r="15" spans="1:47" ht="15" hidden="1" outlineLevel="1" thickBot="1">
      <c r="A15" s="54">
        <f t="shared" si="6"/>
        <v>7</v>
      </c>
      <c r="C15" s="59">
        <f>IF(ROUND(ROUND(('Loonschijven_Tranches salariale'!$Q14*0.65),4)*$Y$1,2)&lt;C$8,C$8,ROUND(ROUND(('Loonschijven_Tranches salariale'!$Q14*0.65),4)*$Y$1,2))</f>
        <v>53.22</v>
      </c>
      <c r="D15" s="59">
        <f>IF(ROUND(ROUND(('Loonschijven_Tranches salariale'!$Q14*0.6),4)*$Y$1,2)&lt;D$8,D$8,ROUND(ROUND(('Loonschijven_Tranches salariale'!$Q14*0.6),4)*$Y$1,2))</f>
        <v>49.13</v>
      </c>
      <c r="E15" s="59">
        <f>IF(ROUND(ROUND(('Loonschijven_Tranches salariale'!$Q14*0.6),4)*$Y$1,2)&lt;E$8,E$8,IF('Loonschijven_Tranches salariale'!$Q14&lt;Basisbedragen!$C$24,ROUND(ROUND(('Loonschijven_Tranches salariale'!$Q14*0.6),4)*$Y$1,2),ROUND(ROUND((Basisbedragen!$C$24*0.6),4)*$Y$1,2)))</f>
        <v>49.13</v>
      </c>
      <c r="G15" s="59">
        <f>IF(ROUND(ROUND(('Loonschijven_Tranches salariale'!$Q14*0.6),4)*$Y$1,2)&lt;G$8,G$8,IF('Loonschijven_Tranches salariale'!$Q14&lt;Basisbedragen!$C$23,ROUND(ROUND(('Loonschijven_Tranches salariale'!$Q14*0.6),4)*$Y$1,2),ROUND(ROUND((Basisbedragen!$C$23*0.6),4)*$Y$1,2)))</f>
        <v>49.13</v>
      </c>
      <c r="H15" s="59">
        <f>IF(ROUND(ROUND(('Loonschijven_Tranches salariale'!$Q14*0.4),4)*$Y$1,2)&lt;H$8,H$8,IF('Loonschijven_Tranches salariale'!$Q14&lt;Basisbedragen!$C$23,ROUND(ROUND(('Loonschijven_Tranches salariale'!$Q14*0.4),4)*$Y$1,2),ROUND(ROUND((Basisbedragen!$C$23*0.4),4)*$Y$1,2)))</f>
        <v>40.72</v>
      </c>
      <c r="I15" s="59">
        <f t="shared" si="4"/>
        <v>38.31</v>
      </c>
      <c r="J15" s="59">
        <f t="shared" si="2"/>
        <v>35.909999999999997</v>
      </c>
      <c r="K15" s="59">
        <f t="shared" si="2"/>
        <v>33.5</v>
      </c>
      <c r="L15" s="59">
        <f t="shared" si="2"/>
        <v>31.1</v>
      </c>
      <c r="N15" s="234">
        <f t="shared" si="7"/>
        <v>26.06</v>
      </c>
      <c r="O15" s="59">
        <f t="shared" si="5"/>
        <v>28.69</v>
      </c>
      <c r="Q15" s="59">
        <f>IF(ROUND(ROUND(('Loonschijven_Tranches salariale'!$Q14*0.55),4)*$Y$1,2)&lt;Q$8,Q$8,IF('Loonschijven_Tranches salariale'!$Q14&lt;Basisbedragen!$C$23,ROUND(ROUND(('Loonschijven_Tranches salariale'!$Q14*0.55),4)*$Y$1,2),ROUND(ROUND((Basisbedragen!$C$23*0.55),4)*$Y$1,2)))</f>
        <v>54.55</v>
      </c>
      <c r="R15" s="59">
        <f t="shared" si="3"/>
        <v>49.84</v>
      </c>
      <c r="S15" s="59">
        <f t="shared" si="3"/>
        <v>45.13</v>
      </c>
      <c r="T15" s="59">
        <f t="shared" si="3"/>
        <v>40.42</v>
      </c>
      <c r="U15" s="59">
        <f t="shared" si="3"/>
        <v>35.71</v>
      </c>
      <c r="W15" s="234">
        <f>N15+ROUND(Basisbedragen!$C$57*$Y$1,2)</f>
        <v>31</v>
      </c>
      <c r="X15" s="59">
        <f>$O15+ROUND(Basisbedragen!$C$57*$Y$1,2)</f>
        <v>33.630000000000003</v>
      </c>
      <c r="AO15" s="83"/>
      <c r="AU15"/>
    </row>
    <row r="16" spans="1:47" ht="15" hidden="1" outlineLevel="1" thickBot="1">
      <c r="A16" s="54">
        <f t="shared" si="6"/>
        <v>8</v>
      </c>
      <c r="C16" s="59">
        <f>IF(ROUND(ROUND(('Loonschijven_Tranches salariale'!$Q15*0.65),4)*$Y$1,2)&lt;C$8,C$8,ROUND(ROUND(('Loonschijven_Tranches salariale'!$Q15*0.65),4)*$Y$1,2))</f>
        <v>53.22</v>
      </c>
      <c r="D16" s="59">
        <f>IF(ROUND(ROUND(('Loonschijven_Tranches salariale'!$Q15*0.6),4)*$Y$1,2)&lt;D$8,D$8,ROUND(ROUND(('Loonschijven_Tranches salariale'!$Q15*0.6),4)*$Y$1,2))</f>
        <v>49.13</v>
      </c>
      <c r="E16" s="59">
        <f>IF(ROUND(ROUND(('Loonschijven_Tranches salariale'!$Q15*0.6),4)*$Y$1,2)&lt;E$8,E$8,IF('Loonschijven_Tranches salariale'!$Q15&lt;Basisbedragen!$C$24,ROUND(ROUND(('Loonschijven_Tranches salariale'!$Q15*0.6),4)*$Y$1,2),ROUND(ROUND((Basisbedragen!$C$24*0.6),4)*$Y$1,2)))</f>
        <v>49.13</v>
      </c>
      <c r="G16" s="59">
        <f>IF(ROUND(ROUND(('Loonschijven_Tranches salariale'!$Q15*0.6),4)*$Y$1,2)&lt;G$8,G$8,IF('Loonschijven_Tranches salariale'!$Q15&lt;Basisbedragen!$C$23,ROUND(ROUND(('Loonschijven_Tranches salariale'!$Q15*0.6),4)*$Y$1,2),ROUND(ROUND((Basisbedragen!$C$23*0.6),4)*$Y$1,2)))</f>
        <v>49.13</v>
      </c>
      <c r="H16" s="59">
        <f>IF(ROUND(ROUND(('Loonschijven_Tranches salariale'!$Q15*0.4),4)*$Y$1,2)&lt;H$8,H$8,IF('Loonschijven_Tranches salariale'!$Q15&lt;Basisbedragen!$C$23,ROUND(ROUND(('Loonschijven_Tranches salariale'!$Q15*0.4),4)*$Y$1,2),ROUND(ROUND((Basisbedragen!$C$23*0.4),4)*$Y$1,2)))</f>
        <v>40.72</v>
      </c>
      <c r="I16" s="59">
        <f t="shared" si="4"/>
        <v>38.31</v>
      </c>
      <c r="J16" s="59">
        <f t="shared" si="2"/>
        <v>35.909999999999997</v>
      </c>
      <c r="K16" s="59">
        <f t="shared" si="2"/>
        <v>33.5</v>
      </c>
      <c r="L16" s="59">
        <f t="shared" si="2"/>
        <v>31.1</v>
      </c>
      <c r="N16" s="234">
        <f t="shared" si="7"/>
        <v>26.06</v>
      </c>
      <c r="O16" s="59">
        <f t="shared" si="5"/>
        <v>28.69</v>
      </c>
      <c r="Q16" s="59">
        <f>IF(ROUND(ROUND(('Loonschijven_Tranches salariale'!$Q15*0.55),4)*$Y$1,2)&lt;Q$8,Q$8,IF('Loonschijven_Tranches salariale'!$Q15&lt;Basisbedragen!$C$23,ROUND(ROUND(('Loonschijven_Tranches salariale'!$Q15*0.55),4)*$Y$1,2),ROUND(ROUND((Basisbedragen!$C$23*0.55),4)*$Y$1,2)))</f>
        <v>54.55</v>
      </c>
      <c r="R16" s="59">
        <f t="shared" si="3"/>
        <v>49.84</v>
      </c>
      <c r="S16" s="59">
        <f t="shared" si="3"/>
        <v>45.13</v>
      </c>
      <c r="T16" s="59">
        <f t="shared" si="3"/>
        <v>40.42</v>
      </c>
      <c r="U16" s="59">
        <f t="shared" si="3"/>
        <v>35.71</v>
      </c>
      <c r="W16" s="234">
        <f>N16+ROUND(Basisbedragen!$C$57*$Y$1,2)</f>
        <v>31</v>
      </c>
      <c r="X16" s="59">
        <f>$O16+ROUND(Basisbedragen!$C$57*$Y$1,2)</f>
        <v>33.630000000000003</v>
      </c>
      <c r="AO16" s="83"/>
      <c r="AU16"/>
    </row>
    <row r="17" spans="1:47" ht="15" hidden="1" outlineLevel="1" thickBot="1">
      <c r="A17" s="54">
        <f t="shared" si="6"/>
        <v>9</v>
      </c>
      <c r="C17" s="59">
        <f>IF(ROUND(ROUND(('Loonschijven_Tranches salariale'!$Q16*0.65),4)*$Y$1,2)&lt;C$8,C$8,ROUND(ROUND(('Loonschijven_Tranches salariale'!$Q16*0.65),4)*$Y$1,2))</f>
        <v>53.22</v>
      </c>
      <c r="D17" s="59">
        <f>IF(ROUND(ROUND(('Loonschijven_Tranches salariale'!$Q16*0.6),4)*$Y$1,2)&lt;D$8,D$8,ROUND(ROUND(('Loonschijven_Tranches salariale'!$Q16*0.6),4)*$Y$1,2))</f>
        <v>49.13</v>
      </c>
      <c r="E17" s="59">
        <f>IF(ROUND(ROUND(('Loonschijven_Tranches salariale'!$Q16*0.6),4)*$Y$1,2)&lt;E$8,E$8,IF('Loonschijven_Tranches salariale'!$Q16&lt;Basisbedragen!$C$24,ROUND(ROUND(('Loonschijven_Tranches salariale'!$Q16*0.6),4)*$Y$1,2),ROUND(ROUND((Basisbedragen!$C$24*0.6),4)*$Y$1,2)))</f>
        <v>49.13</v>
      </c>
      <c r="G17" s="59">
        <f>IF(ROUND(ROUND(('Loonschijven_Tranches salariale'!$Q16*0.6),4)*$Y$1,2)&lt;G$8,G$8,IF('Loonschijven_Tranches salariale'!$Q16&lt;Basisbedragen!$C$23,ROUND(ROUND(('Loonschijven_Tranches salariale'!$Q16*0.6),4)*$Y$1,2),ROUND(ROUND((Basisbedragen!$C$23*0.6),4)*$Y$1,2)))</f>
        <v>49.13</v>
      </c>
      <c r="H17" s="59">
        <f>IF(ROUND(ROUND(('Loonschijven_Tranches salariale'!$Q16*0.4),4)*$Y$1,2)&lt;H$8,H$8,IF('Loonschijven_Tranches salariale'!$Q16&lt;Basisbedragen!$C$23,ROUND(ROUND(('Loonschijven_Tranches salariale'!$Q16*0.4),4)*$Y$1,2),ROUND(ROUND((Basisbedragen!$C$23*0.4),4)*$Y$1,2)))</f>
        <v>40.72</v>
      </c>
      <c r="I17" s="59">
        <f t="shared" si="4"/>
        <v>38.31</v>
      </c>
      <c r="J17" s="59">
        <f t="shared" si="2"/>
        <v>35.909999999999997</v>
      </c>
      <c r="K17" s="59">
        <f t="shared" si="2"/>
        <v>33.5</v>
      </c>
      <c r="L17" s="59">
        <f t="shared" si="2"/>
        <v>31.1</v>
      </c>
      <c r="N17" s="234">
        <f t="shared" si="7"/>
        <v>26.06</v>
      </c>
      <c r="O17" s="59">
        <f t="shared" si="5"/>
        <v>28.69</v>
      </c>
      <c r="Q17" s="59">
        <f>IF(ROUND(ROUND(('Loonschijven_Tranches salariale'!$Q16*0.55),4)*$Y$1,2)&lt;Q$8,Q$8,IF('Loonschijven_Tranches salariale'!$Q16&lt;Basisbedragen!$C$23,ROUND(ROUND(('Loonschijven_Tranches salariale'!$Q16*0.55),4)*$Y$1,2),ROUND(ROUND((Basisbedragen!$C$23*0.55),4)*$Y$1,2)))</f>
        <v>54.55</v>
      </c>
      <c r="R17" s="59">
        <f t="shared" si="3"/>
        <v>49.84</v>
      </c>
      <c r="S17" s="59">
        <f t="shared" si="3"/>
        <v>45.13</v>
      </c>
      <c r="T17" s="59">
        <f t="shared" si="3"/>
        <v>40.42</v>
      </c>
      <c r="U17" s="59">
        <f t="shared" si="3"/>
        <v>35.71</v>
      </c>
      <c r="W17" s="234">
        <f>N17+ROUND(Basisbedragen!$C$57*$Y$1,2)</f>
        <v>31</v>
      </c>
      <c r="X17" s="59">
        <f>$O17+ROUND(Basisbedragen!$C$57*$Y$1,2)</f>
        <v>33.630000000000003</v>
      </c>
      <c r="AO17" s="83"/>
      <c r="AU17"/>
    </row>
    <row r="18" spans="1:47" ht="15" hidden="1" outlineLevel="1" thickBot="1">
      <c r="A18" s="54">
        <f t="shared" si="6"/>
        <v>10</v>
      </c>
      <c r="C18" s="59">
        <f>IF(ROUND(ROUND(('Loonschijven_Tranches salariale'!$Q17*0.65),4)*$Y$1,2)&lt;C$8,C$8,ROUND(ROUND(('Loonschijven_Tranches salariale'!$Q17*0.65),4)*$Y$1,2))</f>
        <v>53.22</v>
      </c>
      <c r="D18" s="59">
        <f>IF(ROUND(ROUND(('Loonschijven_Tranches salariale'!$Q17*0.6),4)*$Y$1,2)&lt;D$8,D$8,ROUND(ROUND(('Loonschijven_Tranches salariale'!$Q17*0.6),4)*$Y$1,2))</f>
        <v>49.13</v>
      </c>
      <c r="E18" s="59">
        <f>IF(ROUND(ROUND(('Loonschijven_Tranches salariale'!$Q17*0.6),4)*$Y$1,2)&lt;E$8,E$8,IF('Loonschijven_Tranches salariale'!$Q17&lt;Basisbedragen!$C$24,ROUND(ROUND(('Loonschijven_Tranches salariale'!$Q17*0.6),4)*$Y$1,2),ROUND(ROUND((Basisbedragen!$C$24*0.6),4)*$Y$1,2)))</f>
        <v>49.13</v>
      </c>
      <c r="G18" s="59">
        <f>IF(ROUND(ROUND(('Loonschijven_Tranches salariale'!$Q17*0.6),4)*$Y$1,2)&lt;G$8,G$8,IF('Loonschijven_Tranches salariale'!$Q17&lt;Basisbedragen!$C$23,ROUND(ROUND(('Loonschijven_Tranches salariale'!$Q17*0.6),4)*$Y$1,2),ROUND(ROUND((Basisbedragen!$C$23*0.6),4)*$Y$1,2)))</f>
        <v>49.13</v>
      </c>
      <c r="H18" s="59">
        <f>IF(ROUND(ROUND(('Loonschijven_Tranches salariale'!$Q17*0.4),4)*$Y$1,2)&lt;H$8,H$8,IF('Loonschijven_Tranches salariale'!$Q17&lt;Basisbedragen!$C$23,ROUND(ROUND(('Loonschijven_Tranches salariale'!$Q17*0.4),4)*$Y$1,2),ROUND(ROUND((Basisbedragen!$C$23*0.4),4)*$Y$1,2)))</f>
        <v>40.72</v>
      </c>
      <c r="I18" s="59">
        <f t="shared" si="4"/>
        <v>38.31</v>
      </c>
      <c r="J18" s="59">
        <f t="shared" si="2"/>
        <v>35.909999999999997</v>
      </c>
      <c r="K18" s="59">
        <f t="shared" si="2"/>
        <v>33.5</v>
      </c>
      <c r="L18" s="59">
        <f t="shared" si="2"/>
        <v>31.1</v>
      </c>
      <c r="N18" s="234">
        <f t="shared" si="7"/>
        <v>26.06</v>
      </c>
      <c r="O18" s="59">
        <f t="shared" si="5"/>
        <v>28.69</v>
      </c>
      <c r="Q18" s="59">
        <f>IF(ROUND(ROUND(('Loonschijven_Tranches salariale'!$Q17*0.55),4)*$Y$1,2)&lt;Q$8,Q$8,IF('Loonschijven_Tranches salariale'!$Q17&lt;Basisbedragen!$C$23,ROUND(ROUND(('Loonschijven_Tranches salariale'!$Q17*0.55),4)*$Y$1,2),ROUND(ROUND((Basisbedragen!$C$23*0.55),4)*$Y$1,2)))</f>
        <v>54.55</v>
      </c>
      <c r="R18" s="59">
        <f t="shared" si="3"/>
        <v>49.84</v>
      </c>
      <c r="S18" s="59">
        <f t="shared" si="3"/>
        <v>45.13</v>
      </c>
      <c r="T18" s="59">
        <f t="shared" si="3"/>
        <v>40.42</v>
      </c>
      <c r="U18" s="59">
        <f t="shared" si="3"/>
        <v>35.71</v>
      </c>
      <c r="W18" s="234">
        <f>N18+ROUND(Basisbedragen!$C$57*$Y$1,2)</f>
        <v>31</v>
      </c>
      <c r="X18" s="59">
        <f>$O18+ROUND(Basisbedragen!$C$57*$Y$1,2)</f>
        <v>33.630000000000003</v>
      </c>
      <c r="AO18" s="83"/>
      <c r="AU18"/>
    </row>
    <row r="19" spans="1:47" ht="15" hidden="1" outlineLevel="1" thickBot="1">
      <c r="A19" s="54">
        <f t="shared" si="6"/>
        <v>11</v>
      </c>
      <c r="C19" s="59">
        <f>IF(ROUND(ROUND(('Loonschijven_Tranches salariale'!$Q18*0.65),4)*$Y$1,2)&lt;C$8,C$8,ROUND(ROUND(('Loonschijven_Tranches salariale'!$Q18*0.65),4)*$Y$1,2))</f>
        <v>53.22</v>
      </c>
      <c r="D19" s="59">
        <f>IF(ROUND(ROUND(('Loonschijven_Tranches salariale'!$Q18*0.6),4)*$Y$1,2)&lt;D$8,D$8,ROUND(ROUND(('Loonschijven_Tranches salariale'!$Q18*0.6),4)*$Y$1,2))</f>
        <v>49.13</v>
      </c>
      <c r="E19" s="59">
        <f>IF(ROUND(ROUND(('Loonschijven_Tranches salariale'!$Q18*0.6),4)*$Y$1,2)&lt;E$8,E$8,IF('Loonschijven_Tranches salariale'!$Q18&lt;Basisbedragen!$C$24,ROUND(ROUND(('Loonschijven_Tranches salariale'!$Q18*0.6),4)*$Y$1,2),ROUND(ROUND((Basisbedragen!$C$24*0.6),4)*$Y$1,2)))</f>
        <v>49.13</v>
      </c>
      <c r="G19" s="59">
        <f>IF(ROUND(ROUND(('Loonschijven_Tranches salariale'!$Q18*0.6),4)*$Y$1,2)&lt;G$8,G$8,IF('Loonschijven_Tranches salariale'!$Q18&lt;Basisbedragen!$C$23,ROUND(ROUND(('Loonschijven_Tranches salariale'!$Q18*0.6),4)*$Y$1,2),ROUND(ROUND((Basisbedragen!$C$23*0.6),4)*$Y$1,2)))</f>
        <v>49.13</v>
      </c>
      <c r="H19" s="59">
        <f>IF(ROUND(ROUND(('Loonschijven_Tranches salariale'!$Q18*0.4),4)*$Y$1,2)&lt;H$8,H$8,IF('Loonschijven_Tranches salariale'!$Q18&lt;Basisbedragen!$C$23,ROUND(ROUND(('Loonschijven_Tranches salariale'!$Q18*0.4),4)*$Y$1,2),ROUND(ROUND((Basisbedragen!$C$23*0.4),4)*$Y$1,2)))</f>
        <v>40.72</v>
      </c>
      <c r="I19" s="59">
        <f t="shared" si="4"/>
        <v>38.31</v>
      </c>
      <c r="J19" s="59">
        <f t="shared" si="2"/>
        <v>35.909999999999997</v>
      </c>
      <c r="K19" s="59">
        <f t="shared" si="2"/>
        <v>33.5</v>
      </c>
      <c r="L19" s="59">
        <f t="shared" si="2"/>
        <v>31.1</v>
      </c>
      <c r="N19" s="234">
        <f t="shared" si="7"/>
        <v>26.06</v>
      </c>
      <c r="O19" s="59">
        <f t="shared" si="5"/>
        <v>28.69</v>
      </c>
      <c r="Q19" s="59">
        <f>IF(ROUND(ROUND(('Loonschijven_Tranches salariale'!$Q18*0.55),4)*$Y$1,2)&lt;Q$8,Q$8,IF('Loonschijven_Tranches salariale'!$Q18&lt;Basisbedragen!$C$23,ROUND(ROUND(('Loonschijven_Tranches salariale'!$Q18*0.55),4)*$Y$1,2),ROUND(ROUND((Basisbedragen!$C$23*0.55),4)*$Y$1,2)))</f>
        <v>54.55</v>
      </c>
      <c r="R19" s="59">
        <f t="shared" si="3"/>
        <v>49.84</v>
      </c>
      <c r="S19" s="59">
        <f t="shared" si="3"/>
        <v>45.13</v>
      </c>
      <c r="T19" s="59">
        <f t="shared" si="3"/>
        <v>40.42</v>
      </c>
      <c r="U19" s="59">
        <f t="shared" si="3"/>
        <v>35.71</v>
      </c>
      <c r="W19" s="234">
        <f>N19+ROUND(Basisbedragen!$C$57*$Y$1,2)</f>
        <v>31</v>
      </c>
      <c r="X19" s="59">
        <f>$O19+ROUND(Basisbedragen!$C$57*$Y$1,2)</f>
        <v>33.630000000000003</v>
      </c>
      <c r="AO19" s="83"/>
      <c r="AU19"/>
    </row>
    <row r="20" spans="1:47" ht="15" hidden="1" outlineLevel="1" thickBot="1">
      <c r="A20" s="54">
        <f t="shared" si="6"/>
        <v>12</v>
      </c>
      <c r="C20" s="59">
        <f>IF(ROUND(ROUND(('Loonschijven_Tranches salariale'!$Q19*0.65),4)*$Y$1,2)&lt;C$8,C$8,ROUND(ROUND(('Loonschijven_Tranches salariale'!$Q19*0.65),4)*$Y$1,2))</f>
        <v>53.22</v>
      </c>
      <c r="D20" s="59">
        <f>IF(ROUND(ROUND(('Loonschijven_Tranches salariale'!$Q19*0.6),4)*$Y$1,2)&lt;D$8,D$8,ROUND(ROUND(('Loonschijven_Tranches salariale'!$Q19*0.6),4)*$Y$1,2))</f>
        <v>49.13</v>
      </c>
      <c r="E20" s="59">
        <f>IF(ROUND(ROUND(('Loonschijven_Tranches salariale'!$Q19*0.6),4)*$Y$1,2)&lt;E$8,E$8,IF('Loonschijven_Tranches salariale'!$Q19&lt;Basisbedragen!$C$24,ROUND(ROUND(('Loonschijven_Tranches salariale'!$Q19*0.6),4)*$Y$1,2),ROUND(ROUND((Basisbedragen!$C$24*0.6),4)*$Y$1,2)))</f>
        <v>49.13</v>
      </c>
      <c r="G20" s="59">
        <f>IF(ROUND(ROUND(('Loonschijven_Tranches salariale'!$Q19*0.6),4)*$Y$1,2)&lt;G$8,G$8,IF('Loonschijven_Tranches salariale'!$Q19&lt;Basisbedragen!$C$23,ROUND(ROUND(('Loonschijven_Tranches salariale'!$Q19*0.6),4)*$Y$1,2),ROUND(ROUND((Basisbedragen!$C$23*0.6),4)*$Y$1,2)))</f>
        <v>49.13</v>
      </c>
      <c r="H20" s="59">
        <f>IF(ROUND(ROUND(('Loonschijven_Tranches salariale'!$Q19*0.4),4)*$Y$1,2)&lt;H$8,H$8,IF('Loonschijven_Tranches salariale'!$Q19&lt;Basisbedragen!$C$23,ROUND(ROUND(('Loonschijven_Tranches salariale'!$Q19*0.4),4)*$Y$1,2),ROUND(ROUND((Basisbedragen!$C$23*0.4),4)*$Y$1,2)))</f>
        <v>40.72</v>
      </c>
      <c r="I20" s="59">
        <f t="shared" si="4"/>
        <v>38.31</v>
      </c>
      <c r="J20" s="59">
        <f t="shared" si="2"/>
        <v>35.909999999999997</v>
      </c>
      <c r="K20" s="59">
        <f t="shared" si="2"/>
        <v>33.5</v>
      </c>
      <c r="L20" s="59">
        <f t="shared" si="2"/>
        <v>31.1</v>
      </c>
      <c r="N20" s="234">
        <f t="shared" si="7"/>
        <v>26.06</v>
      </c>
      <c r="O20" s="59">
        <f t="shared" si="5"/>
        <v>28.69</v>
      </c>
      <c r="Q20" s="59">
        <f>IF(ROUND(ROUND(('Loonschijven_Tranches salariale'!$Q19*0.55),4)*$Y$1,2)&lt;Q$8,Q$8,IF('Loonschijven_Tranches salariale'!$Q19&lt;Basisbedragen!$C$23,ROUND(ROUND(('Loonschijven_Tranches salariale'!$Q19*0.55),4)*$Y$1,2),ROUND(ROUND((Basisbedragen!$C$23*0.55),4)*$Y$1,2)))</f>
        <v>54.55</v>
      </c>
      <c r="R20" s="59">
        <f t="shared" si="3"/>
        <v>49.84</v>
      </c>
      <c r="S20" s="59">
        <f t="shared" si="3"/>
        <v>45.13</v>
      </c>
      <c r="T20" s="59">
        <f t="shared" si="3"/>
        <v>40.42</v>
      </c>
      <c r="U20" s="59">
        <f t="shared" si="3"/>
        <v>35.71</v>
      </c>
      <c r="W20" s="234">
        <f>N20+ROUND(Basisbedragen!$C$57*$Y$1,2)</f>
        <v>31</v>
      </c>
      <c r="X20" s="59">
        <f>$O20+ROUND(Basisbedragen!$C$57*$Y$1,2)</f>
        <v>33.630000000000003</v>
      </c>
      <c r="AO20" s="83"/>
      <c r="AU20"/>
    </row>
    <row r="21" spans="1:47" ht="15" hidden="1" outlineLevel="1" thickBot="1">
      <c r="A21" s="54">
        <f t="shared" si="6"/>
        <v>13</v>
      </c>
      <c r="C21" s="59">
        <f>IF(ROUND(ROUND(('Loonschijven_Tranches salariale'!$Q20*0.65),4)*$Y$1,2)&lt;C$8,C$8,ROUND(ROUND(('Loonschijven_Tranches salariale'!$Q20*0.65),4)*$Y$1,2))</f>
        <v>53.22</v>
      </c>
      <c r="D21" s="59">
        <f>IF(ROUND(ROUND(('Loonschijven_Tranches salariale'!$Q20*0.6),4)*$Y$1,2)&lt;D$8,D$8,ROUND(ROUND(('Loonschijven_Tranches salariale'!$Q20*0.6),4)*$Y$1,2))</f>
        <v>49.13</v>
      </c>
      <c r="E21" s="59">
        <f>IF(ROUND(ROUND(('Loonschijven_Tranches salariale'!$Q20*0.6),4)*$Y$1,2)&lt;E$8,E$8,IF('Loonschijven_Tranches salariale'!$Q20&lt;Basisbedragen!$C$24,ROUND(ROUND(('Loonschijven_Tranches salariale'!$Q20*0.6),4)*$Y$1,2),ROUND(ROUND((Basisbedragen!$C$24*0.6),4)*$Y$1,2)))</f>
        <v>49.13</v>
      </c>
      <c r="G21" s="59">
        <f>IF(ROUND(ROUND(('Loonschijven_Tranches salariale'!$Q20*0.6),4)*$Y$1,2)&lt;G$8,G$8,IF('Loonschijven_Tranches salariale'!$Q20&lt;Basisbedragen!$C$23,ROUND(ROUND(('Loonschijven_Tranches salariale'!$Q20*0.6),4)*$Y$1,2),ROUND(ROUND((Basisbedragen!$C$23*0.6),4)*$Y$1,2)))</f>
        <v>49.13</v>
      </c>
      <c r="H21" s="59">
        <f>IF(ROUND(ROUND(('Loonschijven_Tranches salariale'!$Q20*0.4),4)*$Y$1,2)&lt;H$8,H$8,IF('Loonschijven_Tranches salariale'!$Q20&lt;Basisbedragen!$C$23,ROUND(ROUND(('Loonschijven_Tranches salariale'!$Q20*0.4),4)*$Y$1,2),ROUND(ROUND((Basisbedragen!$C$23*0.4),4)*$Y$1,2)))</f>
        <v>40.72</v>
      </c>
      <c r="I21" s="59">
        <f t="shared" si="4"/>
        <v>38.31</v>
      </c>
      <c r="J21" s="59">
        <f t="shared" si="2"/>
        <v>35.909999999999997</v>
      </c>
      <c r="K21" s="59">
        <f t="shared" si="2"/>
        <v>33.5</v>
      </c>
      <c r="L21" s="59">
        <f t="shared" si="2"/>
        <v>31.1</v>
      </c>
      <c r="N21" s="234">
        <f t="shared" si="7"/>
        <v>26.06</v>
      </c>
      <c r="O21" s="59">
        <f t="shared" si="5"/>
        <v>28.69</v>
      </c>
      <c r="Q21" s="59">
        <f>IF(ROUND(ROUND(('Loonschijven_Tranches salariale'!$Q20*0.55),4)*$Y$1,2)&lt;Q$8,Q$8,IF('Loonschijven_Tranches salariale'!$Q20&lt;Basisbedragen!$C$23,ROUND(ROUND(('Loonschijven_Tranches salariale'!$Q20*0.55),4)*$Y$1,2),ROUND(ROUND((Basisbedragen!$C$23*0.55),4)*$Y$1,2)))</f>
        <v>54.55</v>
      </c>
      <c r="R21" s="59">
        <f t="shared" si="3"/>
        <v>49.84</v>
      </c>
      <c r="S21" s="59">
        <f t="shared" si="3"/>
        <v>45.13</v>
      </c>
      <c r="T21" s="59">
        <f t="shared" si="3"/>
        <v>40.42</v>
      </c>
      <c r="U21" s="59">
        <f t="shared" si="3"/>
        <v>35.71</v>
      </c>
      <c r="W21" s="234">
        <f>N21+ROUND(Basisbedragen!$C$57*$Y$1,2)</f>
        <v>31</v>
      </c>
      <c r="X21" s="59">
        <f>$O21+ROUND(Basisbedragen!$C$57*$Y$1,2)</f>
        <v>33.630000000000003</v>
      </c>
      <c r="AO21" s="83"/>
      <c r="AU21"/>
    </row>
    <row r="22" spans="1:47" ht="15" hidden="1" outlineLevel="1" thickBot="1">
      <c r="A22" s="54">
        <f t="shared" si="6"/>
        <v>14</v>
      </c>
      <c r="C22" s="59">
        <f>IF(ROUND(ROUND(('Loonschijven_Tranches salariale'!$Q21*0.65),4)*$Y$1,2)&lt;C$8,C$8,ROUND(ROUND(('Loonschijven_Tranches salariale'!$Q21*0.65),4)*$Y$1,2))</f>
        <v>53.22</v>
      </c>
      <c r="D22" s="59">
        <f>IF(ROUND(ROUND(('Loonschijven_Tranches salariale'!$Q21*0.6),4)*$Y$1,2)&lt;D$8,D$8,ROUND(ROUND(('Loonschijven_Tranches salariale'!$Q21*0.6),4)*$Y$1,2))</f>
        <v>49.13</v>
      </c>
      <c r="E22" s="59">
        <f>IF(ROUND(ROUND(('Loonschijven_Tranches salariale'!$Q21*0.6),4)*$Y$1,2)&lt;E$8,E$8,IF('Loonschijven_Tranches salariale'!$Q21&lt;Basisbedragen!$C$24,ROUND(ROUND(('Loonschijven_Tranches salariale'!$Q21*0.6),4)*$Y$1,2),ROUND(ROUND((Basisbedragen!$C$24*0.6),4)*$Y$1,2)))</f>
        <v>49.13</v>
      </c>
      <c r="G22" s="59">
        <f>IF(ROUND(ROUND(('Loonschijven_Tranches salariale'!$Q21*0.6),4)*$Y$1,2)&lt;G$8,G$8,IF('Loonschijven_Tranches salariale'!$Q21&lt;Basisbedragen!$C$23,ROUND(ROUND(('Loonschijven_Tranches salariale'!$Q21*0.6),4)*$Y$1,2),ROUND(ROUND((Basisbedragen!$C$23*0.6),4)*$Y$1,2)))</f>
        <v>49.13</v>
      </c>
      <c r="H22" s="59">
        <f>IF(ROUND(ROUND(('Loonschijven_Tranches salariale'!$Q21*0.4),4)*$Y$1,2)&lt;H$8,H$8,IF('Loonschijven_Tranches salariale'!$Q21&lt;Basisbedragen!$C$23,ROUND(ROUND(('Loonschijven_Tranches salariale'!$Q21*0.4),4)*$Y$1,2),ROUND(ROUND((Basisbedragen!$C$23*0.4),4)*$Y$1,2)))</f>
        <v>40.72</v>
      </c>
      <c r="I22" s="59">
        <f t="shared" si="4"/>
        <v>38.31</v>
      </c>
      <c r="J22" s="59">
        <f t="shared" si="2"/>
        <v>35.909999999999997</v>
      </c>
      <c r="K22" s="59">
        <f t="shared" si="2"/>
        <v>33.5</v>
      </c>
      <c r="L22" s="59">
        <f t="shared" si="2"/>
        <v>31.1</v>
      </c>
      <c r="N22" s="234">
        <f t="shared" si="7"/>
        <v>26.06</v>
      </c>
      <c r="O22" s="59">
        <f t="shared" si="5"/>
        <v>28.69</v>
      </c>
      <c r="Q22" s="59">
        <f>IF(ROUND(ROUND(('Loonschijven_Tranches salariale'!$Q21*0.55),4)*$Y$1,2)&lt;Q$8,Q$8,IF('Loonschijven_Tranches salariale'!$Q21&lt;Basisbedragen!$C$23,ROUND(ROUND(('Loonschijven_Tranches salariale'!$Q21*0.55),4)*$Y$1,2),ROUND(ROUND((Basisbedragen!$C$23*0.55),4)*$Y$1,2)))</f>
        <v>54.55</v>
      </c>
      <c r="R22" s="59">
        <f t="shared" si="3"/>
        <v>49.84</v>
      </c>
      <c r="S22" s="59">
        <f t="shared" si="3"/>
        <v>45.13</v>
      </c>
      <c r="T22" s="59">
        <f t="shared" si="3"/>
        <v>40.42</v>
      </c>
      <c r="U22" s="59">
        <f t="shared" si="3"/>
        <v>35.71</v>
      </c>
      <c r="W22" s="234">
        <f>N22+ROUND(Basisbedragen!$C$57*$Y$1,2)</f>
        <v>31</v>
      </c>
      <c r="X22" s="59">
        <f>$O22+ROUND(Basisbedragen!$C$57*$Y$1,2)</f>
        <v>33.630000000000003</v>
      </c>
      <c r="AO22" s="83"/>
      <c r="AU22"/>
    </row>
    <row r="23" spans="1:47" ht="15" hidden="1" outlineLevel="1" thickBot="1">
      <c r="A23" s="54">
        <f t="shared" si="6"/>
        <v>15</v>
      </c>
      <c r="C23" s="59">
        <f>IF(ROUND(ROUND(('Loonschijven_Tranches salariale'!$Q22*0.65),4)*$Y$1,2)&lt;C$8,C$8,ROUND(ROUND(('Loonschijven_Tranches salariale'!$Q22*0.65),4)*$Y$1,2))</f>
        <v>53.22</v>
      </c>
      <c r="D23" s="59">
        <f>IF(ROUND(ROUND(('Loonschijven_Tranches salariale'!$Q22*0.6),4)*$Y$1,2)&lt;D$8,D$8,ROUND(ROUND(('Loonschijven_Tranches salariale'!$Q22*0.6),4)*$Y$1,2))</f>
        <v>49.13</v>
      </c>
      <c r="E23" s="59">
        <f>IF(ROUND(ROUND(('Loonschijven_Tranches salariale'!$Q22*0.6),4)*$Y$1,2)&lt;E$8,E$8,IF('Loonschijven_Tranches salariale'!$Q22&lt;Basisbedragen!$C$24,ROUND(ROUND(('Loonschijven_Tranches salariale'!$Q22*0.6),4)*$Y$1,2),ROUND(ROUND((Basisbedragen!$C$24*0.6),4)*$Y$1,2)))</f>
        <v>49.13</v>
      </c>
      <c r="G23" s="59">
        <f>IF(ROUND(ROUND(('Loonschijven_Tranches salariale'!$Q22*0.6),4)*$Y$1,2)&lt;G$8,G$8,IF('Loonschijven_Tranches salariale'!$Q22&lt;Basisbedragen!$C$23,ROUND(ROUND(('Loonschijven_Tranches salariale'!$Q22*0.6),4)*$Y$1,2),ROUND(ROUND((Basisbedragen!$C$23*0.6),4)*$Y$1,2)))</f>
        <v>49.13</v>
      </c>
      <c r="H23" s="59">
        <f>IF(ROUND(ROUND(('Loonschijven_Tranches salariale'!$Q22*0.4),4)*$Y$1,2)&lt;H$8,H$8,IF('Loonschijven_Tranches salariale'!$Q22&lt;Basisbedragen!$C$23,ROUND(ROUND(('Loonschijven_Tranches salariale'!$Q22*0.4),4)*$Y$1,2),ROUND(ROUND((Basisbedragen!$C$23*0.4),4)*$Y$1,2)))</f>
        <v>40.72</v>
      </c>
      <c r="I23" s="59">
        <f t="shared" si="4"/>
        <v>38.31</v>
      </c>
      <c r="J23" s="59">
        <f t="shared" si="2"/>
        <v>35.909999999999997</v>
      </c>
      <c r="K23" s="59">
        <f t="shared" si="2"/>
        <v>33.5</v>
      </c>
      <c r="L23" s="59">
        <f t="shared" si="2"/>
        <v>31.1</v>
      </c>
      <c r="N23" s="234">
        <f t="shared" si="7"/>
        <v>26.06</v>
      </c>
      <c r="O23" s="59">
        <f t="shared" si="5"/>
        <v>28.69</v>
      </c>
      <c r="Q23" s="59">
        <f>IF(ROUND(ROUND(('Loonschijven_Tranches salariale'!$Q22*0.55),4)*$Y$1,2)&lt;Q$8,Q$8,IF('Loonschijven_Tranches salariale'!$Q22&lt;Basisbedragen!$C$23,ROUND(ROUND(('Loonschijven_Tranches salariale'!$Q22*0.55),4)*$Y$1,2),ROUND(ROUND((Basisbedragen!$C$23*0.55),4)*$Y$1,2)))</f>
        <v>54.55</v>
      </c>
      <c r="R23" s="59">
        <f t="shared" si="3"/>
        <v>49.84</v>
      </c>
      <c r="S23" s="59">
        <f t="shared" si="3"/>
        <v>45.13</v>
      </c>
      <c r="T23" s="59">
        <f t="shared" si="3"/>
        <v>40.42</v>
      </c>
      <c r="U23" s="59">
        <f t="shared" si="3"/>
        <v>35.71</v>
      </c>
      <c r="W23" s="234">
        <f>N23+ROUND(Basisbedragen!$C$57*$Y$1,2)</f>
        <v>31</v>
      </c>
      <c r="X23" s="59">
        <f>$O23+ROUND(Basisbedragen!$C$57*$Y$1,2)</f>
        <v>33.630000000000003</v>
      </c>
      <c r="AO23" s="83"/>
      <c r="AU23"/>
    </row>
    <row r="24" spans="1:47" ht="15" hidden="1" outlineLevel="1" thickBot="1">
      <c r="A24" s="54">
        <f t="shared" si="6"/>
        <v>16</v>
      </c>
      <c r="C24" s="59">
        <f>IF(ROUND(ROUND(('Loonschijven_Tranches salariale'!$Q23*0.65),4)*$Y$1,2)&lt;C$8,C$8,ROUND(ROUND(('Loonschijven_Tranches salariale'!$Q23*0.65),4)*$Y$1,2))</f>
        <v>53.22</v>
      </c>
      <c r="D24" s="59">
        <f>IF(ROUND(ROUND(('Loonschijven_Tranches salariale'!$Q23*0.6),4)*$Y$1,2)&lt;D$8,D$8,ROUND(ROUND(('Loonschijven_Tranches salariale'!$Q23*0.6),4)*$Y$1,2))</f>
        <v>49.13</v>
      </c>
      <c r="E24" s="59">
        <f>IF(ROUND(ROUND(('Loonschijven_Tranches salariale'!$Q23*0.6),4)*$Y$1,2)&lt;E$8,E$8,IF('Loonschijven_Tranches salariale'!$Q23&lt;Basisbedragen!$C$24,ROUND(ROUND(('Loonschijven_Tranches salariale'!$Q23*0.6),4)*$Y$1,2),ROUND(ROUND((Basisbedragen!$C$24*0.6),4)*$Y$1,2)))</f>
        <v>49.13</v>
      </c>
      <c r="G24" s="59">
        <f>IF(ROUND(ROUND(('Loonschijven_Tranches salariale'!$Q23*0.6),4)*$Y$1,2)&lt;G$8,G$8,IF('Loonschijven_Tranches salariale'!$Q23&lt;Basisbedragen!$C$23,ROUND(ROUND(('Loonschijven_Tranches salariale'!$Q23*0.6),4)*$Y$1,2),ROUND(ROUND((Basisbedragen!$C$23*0.6),4)*$Y$1,2)))</f>
        <v>49.13</v>
      </c>
      <c r="H24" s="59">
        <f>IF(ROUND(ROUND(('Loonschijven_Tranches salariale'!$Q23*0.4),4)*$Y$1,2)&lt;H$8,H$8,IF('Loonschijven_Tranches salariale'!$Q23&lt;Basisbedragen!$C$23,ROUND(ROUND(('Loonschijven_Tranches salariale'!$Q23*0.4),4)*$Y$1,2),ROUND(ROUND((Basisbedragen!$C$23*0.4),4)*$Y$1,2)))</f>
        <v>40.72</v>
      </c>
      <c r="I24" s="59">
        <f t="shared" si="4"/>
        <v>38.31</v>
      </c>
      <c r="J24" s="59">
        <f t="shared" si="2"/>
        <v>35.909999999999997</v>
      </c>
      <c r="K24" s="59">
        <f t="shared" si="2"/>
        <v>33.5</v>
      </c>
      <c r="L24" s="59">
        <f t="shared" si="2"/>
        <v>31.1</v>
      </c>
      <c r="N24" s="234">
        <f t="shared" si="7"/>
        <v>26.06</v>
      </c>
      <c r="O24" s="59">
        <f t="shared" si="5"/>
        <v>28.69</v>
      </c>
      <c r="Q24" s="59">
        <f>IF(ROUND(ROUND(('Loonschijven_Tranches salariale'!$Q23*0.55),4)*$Y$1,2)&lt;Q$8,Q$8,IF('Loonschijven_Tranches salariale'!$Q23&lt;Basisbedragen!$C$23,ROUND(ROUND(('Loonschijven_Tranches salariale'!$Q23*0.55),4)*$Y$1,2),ROUND(ROUND((Basisbedragen!$C$23*0.55),4)*$Y$1,2)))</f>
        <v>54.55</v>
      </c>
      <c r="R24" s="59">
        <f t="shared" si="3"/>
        <v>49.84</v>
      </c>
      <c r="S24" s="59">
        <f t="shared" si="3"/>
        <v>45.13</v>
      </c>
      <c r="T24" s="59">
        <f t="shared" si="3"/>
        <v>40.42</v>
      </c>
      <c r="U24" s="59">
        <f t="shared" si="3"/>
        <v>35.71</v>
      </c>
      <c r="W24" s="234">
        <f>N24+ROUND(Basisbedragen!$C$57*$Y$1,2)</f>
        <v>31</v>
      </c>
      <c r="X24" s="59">
        <f>$O24+ROUND(Basisbedragen!$C$57*$Y$1,2)</f>
        <v>33.630000000000003</v>
      </c>
      <c r="AO24" s="83"/>
      <c r="AU24"/>
    </row>
    <row r="25" spans="1:47" ht="15" hidden="1" outlineLevel="1" thickBot="1">
      <c r="A25" s="54">
        <f t="shared" si="6"/>
        <v>17</v>
      </c>
      <c r="C25" s="59">
        <f>IF(ROUND(ROUND(('Loonschijven_Tranches salariale'!$Q24*0.65),4)*$Y$1,2)&lt;C$8,C$8,ROUND(ROUND(('Loonschijven_Tranches salariale'!$Q24*0.65),4)*$Y$1,2))</f>
        <v>53.22</v>
      </c>
      <c r="D25" s="59">
        <f>IF(ROUND(ROUND(('Loonschijven_Tranches salariale'!$Q24*0.6),4)*$Y$1,2)&lt;D$8,D$8,ROUND(ROUND(('Loonschijven_Tranches salariale'!$Q24*0.6),4)*$Y$1,2))</f>
        <v>49.13</v>
      </c>
      <c r="E25" s="59">
        <f>IF(ROUND(ROUND(('Loonschijven_Tranches salariale'!$Q24*0.6),4)*$Y$1,2)&lt;E$8,E$8,IF('Loonschijven_Tranches salariale'!$Q24&lt;Basisbedragen!$C$24,ROUND(ROUND(('Loonschijven_Tranches salariale'!$Q24*0.6),4)*$Y$1,2),ROUND(ROUND((Basisbedragen!$C$24*0.6),4)*$Y$1,2)))</f>
        <v>49.13</v>
      </c>
      <c r="G25" s="59">
        <f>IF(ROUND(ROUND(('Loonschijven_Tranches salariale'!$Q24*0.6),4)*$Y$1,2)&lt;G$8,G$8,IF('Loonschijven_Tranches salariale'!$Q24&lt;Basisbedragen!$C$23,ROUND(ROUND(('Loonschijven_Tranches salariale'!$Q24*0.6),4)*$Y$1,2),ROUND(ROUND((Basisbedragen!$C$23*0.6),4)*$Y$1,2)))</f>
        <v>49.13</v>
      </c>
      <c r="H25" s="59">
        <f>IF(ROUND(ROUND(('Loonschijven_Tranches salariale'!$Q24*0.4),4)*$Y$1,2)&lt;H$8,H$8,IF('Loonschijven_Tranches salariale'!$Q24&lt;Basisbedragen!$C$23,ROUND(ROUND(('Loonschijven_Tranches salariale'!$Q24*0.4),4)*$Y$1,2),ROUND(ROUND((Basisbedragen!$C$23*0.4),4)*$Y$1,2)))</f>
        <v>40.72</v>
      </c>
      <c r="I25" s="59">
        <f t="shared" si="4"/>
        <v>38.31</v>
      </c>
      <c r="J25" s="59">
        <f t="shared" si="4"/>
        <v>35.909999999999997</v>
      </c>
      <c r="K25" s="59">
        <f t="shared" si="4"/>
        <v>33.5</v>
      </c>
      <c r="L25" s="59">
        <f t="shared" si="4"/>
        <v>31.1</v>
      </c>
      <c r="N25" s="234">
        <f t="shared" si="7"/>
        <v>26.06</v>
      </c>
      <c r="O25" s="59">
        <f t="shared" si="5"/>
        <v>28.69</v>
      </c>
      <c r="Q25" s="59">
        <f>IF(ROUND(ROUND(('Loonschijven_Tranches salariale'!$Q24*0.55),4)*$Y$1,2)&lt;Q$8,Q$8,IF('Loonschijven_Tranches salariale'!$Q24&lt;Basisbedragen!$C$23,ROUND(ROUND(('Loonschijven_Tranches salariale'!$Q24*0.55),4)*$Y$1,2),ROUND(ROUND((Basisbedragen!$C$23*0.55),4)*$Y$1,2)))</f>
        <v>54.55</v>
      </c>
      <c r="R25" s="59">
        <f t="shared" si="3"/>
        <v>49.84</v>
      </c>
      <c r="S25" s="59">
        <f t="shared" si="3"/>
        <v>45.13</v>
      </c>
      <c r="T25" s="59">
        <f t="shared" si="3"/>
        <v>40.42</v>
      </c>
      <c r="U25" s="59">
        <f t="shared" si="3"/>
        <v>35.71</v>
      </c>
      <c r="W25" s="234">
        <f>N25+ROUND(Basisbedragen!$C$57*$Y$1,2)</f>
        <v>31</v>
      </c>
      <c r="X25" s="59">
        <f>$O25+ROUND(Basisbedragen!$C$57*$Y$1,2)</f>
        <v>33.630000000000003</v>
      </c>
      <c r="AO25" s="83"/>
      <c r="AU25"/>
    </row>
    <row r="26" spans="1:47" ht="15" hidden="1" outlineLevel="1" thickBot="1">
      <c r="A26" s="54">
        <f t="shared" si="6"/>
        <v>18</v>
      </c>
      <c r="C26" s="59">
        <f>IF(ROUND(ROUND(('Loonschijven_Tranches salariale'!$Q25*0.65),4)*$Y$1,2)&lt;C$8,C$8,ROUND(ROUND(('Loonschijven_Tranches salariale'!$Q25*0.65),4)*$Y$1,2))</f>
        <v>53.22</v>
      </c>
      <c r="D26" s="59">
        <f>IF(ROUND(ROUND(('Loonschijven_Tranches salariale'!$Q25*0.6),4)*$Y$1,2)&lt;D$8,D$8,ROUND(ROUND(('Loonschijven_Tranches salariale'!$Q25*0.6),4)*$Y$1,2))</f>
        <v>49.13</v>
      </c>
      <c r="E26" s="59">
        <f>IF(ROUND(ROUND(('Loonschijven_Tranches salariale'!$Q25*0.6),4)*$Y$1,2)&lt;E$8,E$8,IF('Loonschijven_Tranches salariale'!$Q25&lt;Basisbedragen!$C$24,ROUND(ROUND(('Loonschijven_Tranches salariale'!$Q25*0.6),4)*$Y$1,2),ROUND(ROUND((Basisbedragen!$C$24*0.6),4)*$Y$1,2)))</f>
        <v>49.13</v>
      </c>
      <c r="G26" s="59">
        <f>IF(ROUND(ROUND(('Loonschijven_Tranches salariale'!$Q25*0.6),4)*$Y$1,2)&lt;G$8,G$8,IF('Loonschijven_Tranches salariale'!$Q25&lt;Basisbedragen!$C$23,ROUND(ROUND(('Loonschijven_Tranches salariale'!$Q25*0.6),4)*$Y$1,2),ROUND(ROUND((Basisbedragen!$C$23*0.6),4)*$Y$1,2)))</f>
        <v>49.13</v>
      </c>
      <c r="H26" s="59">
        <f>IF(ROUND(ROUND(('Loonschijven_Tranches salariale'!$Q25*0.4),4)*$Y$1,2)&lt;H$8,H$8,IF('Loonschijven_Tranches salariale'!$Q25&lt;Basisbedragen!$C$23,ROUND(ROUND(('Loonschijven_Tranches salariale'!$Q25*0.4),4)*$Y$1,2),ROUND(ROUND((Basisbedragen!$C$23*0.4),4)*$Y$1,2)))</f>
        <v>40.72</v>
      </c>
      <c r="I26" s="59">
        <f t="shared" si="4"/>
        <v>38.31</v>
      </c>
      <c r="J26" s="59">
        <f t="shared" si="4"/>
        <v>35.909999999999997</v>
      </c>
      <c r="K26" s="59">
        <f t="shared" si="4"/>
        <v>33.5</v>
      </c>
      <c r="L26" s="59">
        <f t="shared" si="4"/>
        <v>31.1</v>
      </c>
      <c r="N26" s="234">
        <f t="shared" si="7"/>
        <v>26.06</v>
      </c>
      <c r="O26" s="59">
        <f t="shared" si="5"/>
        <v>28.69</v>
      </c>
      <c r="Q26" s="59">
        <f>IF(ROUND(ROUND(('Loonschijven_Tranches salariale'!$Q25*0.55),4)*$Y$1,2)&lt;Q$8,Q$8,IF('Loonschijven_Tranches salariale'!$Q25&lt;Basisbedragen!$C$23,ROUND(ROUND(('Loonschijven_Tranches salariale'!$Q25*0.55),4)*$Y$1,2),ROUND(ROUND((Basisbedragen!$C$23*0.55),4)*$Y$1,2)))</f>
        <v>54.55</v>
      </c>
      <c r="R26" s="59">
        <f t="shared" si="3"/>
        <v>49.84</v>
      </c>
      <c r="S26" s="59">
        <f t="shared" si="3"/>
        <v>45.13</v>
      </c>
      <c r="T26" s="59">
        <f t="shared" si="3"/>
        <v>40.42</v>
      </c>
      <c r="U26" s="59">
        <f t="shared" si="3"/>
        <v>35.71</v>
      </c>
      <c r="W26" s="234">
        <f>N26+ROUND(Basisbedragen!$C$57*$Y$1,2)</f>
        <v>31</v>
      </c>
      <c r="X26" s="59">
        <f>$O26+ROUND(Basisbedragen!$C$57*$Y$1,2)</f>
        <v>33.630000000000003</v>
      </c>
      <c r="AO26" s="83"/>
      <c r="AU26"/>
    </row>
    <row r="27" spans="1:47" ht="15" hidden="1" outlineLevel="1" thickBot="1">
      <c r="A27" s="54">
        <f t="shared" si="6"/>
        <v>19</v>
      </c>
      <c r="C27" s="59">
        <f>IF(ROUND(ROUND(('Loonschijven_Tranches salariale'!$Q26*0.65),4)*$Y$1,2)&lt;C$8,C$8,ROUND(ROUND(('Loonschijven_Tranches salariale'!$Q26*0.65),4)*$Y$1,2))</f>
        <v>53.22</v>
      </c>
      <c r="D27" s="59">
        <f>IF(ROUND(ROUND(('Loonschijven_Tranches salariale'!$Q26*0.6),4)*$Y$1,2)&lt;D$8,D$8,ROUND(ROUND(('Loonschijven_Tranches salariale'!$Q26*0.6),4)*$Y$1,2))</f>
        <v>49.13</v>
      </c>
      <c r="E27" s="59">
        <f>IF(ROUND(ROUND(('Loonschijven_Tranches salariale'!$Q26*0.6),4)*$Y$1,2)&lt;E$8,E$8,IF('Loonschijven_Tranches salariale'!$Q26&lt;Basisbedragen!$C$24,ROUND(ROUND(('Loonschijven_Tranches salariale'!$Q26*0.6),4)*$Y$1,2),ROUND(ROUND((Basisbedragen!$C$24*0.6),4)*$Y$1,2)))</f>
        <v>49.13</v>
      </c>
      <c r="G27" s="59">
        <f>IF(ROUND(ROUND(('Loonschijven_Tranches salariale'!$Q26*0.6),4)*$Y$1,2)&lt;G$8,G$8,IF('Loonschijven_Tranches salariale'!$Q26&lt;Basisbedragen!$C$23,ROUND(ROUND(('Loonschijven_Tranches salariale'!$Q26*0.6),4)*$Y$1,2),ROUND(ROUND((Basisbedragen!$C$23*0.6),4)*$Y$1,2)))</f>
        <v>49.13</v>
      </c>
      <c r="H27" s="59">
        <f>IF(ROUND(ROUND(('Loonschijven_Tranches salariale'!$Q26*0.4),4)*$Y$1,2)&lt;H$8,H$8,IF('Loonschijven_Tranches salariale'!$Q26&lt;Basisbedragen!$C$23,ROUND(ROUND(('Loonschijven_Tranches salariale'!$Q26*0.4),4)*$Y$1,2),ROUND(ROUND((Basisbedragen!$C$23*0.4),4)*$Y$1,2)))</f>
        <v>40.72</v>
      </c>
      <c r="I27" s="59">
        <f t="shared" si="4"/>
        <v>38.31</v>
      </c>
      <c r="J27" s="59">
        <f t="shared" si="4"/>
        <v>35.909999999999997</v>
      </c>
      <c r="K27" s="59">
        <f t="shared" si="4"/>
        <v>33.5</v>
      </c>
      <c r="L27" s="59">
        <f t="shared" si="4"/>
        <v>31.1</v>
      </c>
      <c r="N27" s="234">
        <f t="shared" si="7"/>
        <v>26.06</v>
      </c>
      <c r="O27" s="59">
        <f t="shared" si="5"/>
        <v>28.69</v>
      </c>
      <c r="Q27" s="59">
        <f>IF(ROUND(ROUND(('Loonschijven_Tranches salariale'!$Q26*0.55),4)*$Y$1,2)&lt;Q$8,Q$8,IF('Loonschijven_Tranches salariale'!$Q26&lt;Basisbedragen!$C$23,ROUND(ROUND(('Loonschijven_Tranches salariale'!$Q26*0.55),4)*$Y$1,2),ROUND(ROUND((Basisbedragen!$C$23*0.55),4)*$Y$1,2)))</f>
        <v>54.55</v>
      </c>
      <c r="R27" s="59">
        <f t="shared" si="3"/>
        <v>49.84</v>
      </c>
      <c r="S27" s="59">
        <f t="shared" si="3"/>
        <v>45.13</v>
      </c>
      <c r="T27" s="59">
        <f t="shared" si="3"/>
        <v>40.42</v>
      </c>
      <c r="U27" s="59">
        <f t="shared" si="3"/>
        <v>35.71</v>
      </c>
      <c r="W27" s="234">
        <f>N27+ROUND(Basisbedragen!$C$57*$Y$1,2)</f>
        <v>31</v>
      </c>
      <c r="X27" s="59">
        <f>$O27+ROUND(Basisbedragen!$C$57*$Y$1,2)</f>
        <v>33.630000000000003</v>
      </c>
      <c r="AO27" s="83"/>
      <c r="AU27"/>
    </row>
    <row r="28" spans="1:47" ht="15" hidden="1" outlineLevel="1" thickBot="1">
      <c r="A28" s="54">
        <f t="shared" si="6"/>
        <v>20</v>
      </c>
      <c r="C28" s="59">
        <f>IF(ROUND(ROUND(('Loonschijven_Tranches salariale'!$Q27*0.65),4)*$Y$1,2)&lt;C$8,C$8,ROUND(ROUND(('Loonschijven_Tranches salariale'!$Q27*0.65),4)*$Y$1,2))</f>
        <v>53.22</v>
      </c>
      <c r="D28" s="59">
        <f>IF(ROUND(ROUND(('Loonschijven_Tranches salariale'!$Q27*0.6),4)*$Y$1,2)&lt;D$8,D$8,ROUND(ROUND(('Loonschijven_Tranches salariale'!$Q27*0.6),4)*$Y$1,2))</f>
        <v>49.13</v>
      </c>
      <c r="E28" s="59">
        <f>IF(ROUND(ROUND(('Loonschijven_Tranches salariale'!$Q27*0.6),4)*$Y$1,2)&lt;E$8,E$8,IF('Loonschijven_Tranches salariale'!$Q27&lt;Basisbedragen!$C$24,ROUND(ROUND(('Loonschijven_Tranches salariale'!$Q27*0.6),4)*$Y$1,2),ROUND(ROUND((Basisbedragen!$C$24*0.6),4)*$Y$1,2)))</f>
        <v>49.13</v>
      </c>
      <c r="G28" s="59">
        <f>IF(ROUND(ROUND(('Loonschijven_Tranches salariale'!$Q27*0.6),4)*$Y$1,2)&lt;G$8,G$8,IF('Loonschijven_Tranches salariale'!$Q27&lt;Basisbedragen!$C$23,ROUND(ROUND(('Loonschijven_Tranches salariale'!$Q27*0.6),4)*$Y$1,2),ROUND(ROUND((Basisbedragen!$C$23*0.6),4)*$Y$1,2)))</f>
        <v>49.13</v>
      </c>
      <c r="H28" s="59">
        <f>IF(ROUND(ROUND(('Loonschijven_Tranches salariale'!$Q27*0.4),4)*$Y$1,2)&lt;H$8,H$8,IF('Loonschijven_Tranches salariale'!$Q27&lt;Basisbedragen!$C$23,ROUND(ROUND(('Loonschijven_Tranches salariale'!$Q27*0.4),4)*$Y$1,2),ROUND(ROUND((Basisbedragen!$C$23*0.4),4)*$Y$1,2)))</f>
        <v>40.72</v>
      </c>
      <c r="I28" s="59">
        <f t="shared" si="4"/>
        <v>38.31</v>
      </c>
      <c r="J28" s="59">
        <f>IF(ROUND($H28-(J$6*($H28-$N$9)/5),2)&lt;J$8,J$8,ROUND($H28-(J$6*($H28-$N$9)/5),2))</f>
        <v>35.909999999999997</v>
      </c>
      <c r="K28" s="59">
        <f t="shared" si="4"/>
        <v>33.5</v>
      </c>
      <c r="L28" s="59">
        <f t="shared" si="4"/>
        <v>31.1</v>
      </c>
      <c r="N28" s="234">
        <f t="shared" si="7"/>
        <v>26.06</v>
      </c>
      <c r="O28" s="59">
        <f t="shared" si="5"/>
        <v>28.69</v>
      </c>
      <c r="Q28" s="59">
        <f>IF(ROUND(ROUND(('Loonschijven_Tranches salariale'!$Q27*0.55),4)*$Y$1,2)&lt;Q$8,Q$8,IF('Loonschijven_Tranches salariale'!$Q27&lt;Basisbedragen!$C$23,ROUND(ROUND(('Loonschijven_Tranches salariale'!$Q27*0.55),4)*$Y$1,2),ROUND(ROUND((Basisbedragen!$C$23*0.55),4)*$Y$1,2)))</f>
        <v>54.55</v>
      </c>
      <c r="R28" s="59">
        <f t="shared" si="3"/>
        <v>49.84</v>
      </c>
      <c r="S28" s="59">
        <f t="shared" si="3"/>
        <v>45.13</v>
      </c>
      <c r="T28" s="59">
        <f t="shared" si="3"/>
        <v>40.42</v>
      </c>
      <c r="U28" s="59">
        <f t="shared" si="3"/>
        <v>35.71</v>
      </c>
      <c r="W28" s="234">
        <f>N28+ROUND(Basisbedragen!$C$57*$Y$1,2)</f>
        <v>31</v>
      </c>
      <c r="X28" s="59">
        <f>$O28+ROUND(Basisbedragen!$C$57*$Y$1,2)</f>
        <v>33.630000000000003</v>
      </c>
      <c r="AO28" s="83"/>
      <c r="AU28"/>
    </row>
    <row r="29" spans="1:47" ht="15" hidden="1" outlineLevel="1" thickBot="1">
      <c r="A29" s="54">
        <f t="shared" si="6"/>
        <v>21</v>
      </c>
      <c r="C29" s="59">
        <f>IF(ROUND(ROUND(('Loonschijven_Tranches salariale'!$Q28*0.65),4)*$Y$1,2)&lt;C$8,C$8,ROUND(ROUND(('Loonschijven_Tranches salariale'!$Q28*0.65),4)*$Y$1,2))</f>
        <v>53.22</v>
      </c>
      <c r="D29" s="59">
        <f>IF(ROUND(ROUND(('Loonschijven_Tranches salariale'!$Q28*0.6),4)*$Y$1,2)&lt;D$8,D$8,ROUND(ROUND(('Loonschijven_Tranches salariale'!$Q28*0.6),4)*$Y$1,2))</f>
        <v>49.13</v>
      </c>
      <c r="E29" s="59">
        <f>IF(ROUND(ROUND(('Loonschijven_Tranches salariale'!$Q28*0.6),4)*$Y$1,2)&lt;E$8,E$8,IF('Loonschijven_Tranches salariale'!$Q28&lt;Basisbedragen!$C$24,ROUND(ROUND(('Loonschijven_Tranches salariale'!$Q28*0.6),4)*$Y$1,2),ROUND(ROUND((Basisbedragen!$C$24*0.6),4)*$Y$1,2)))</f>
        <v>49.13</v>
      </c>
      <c r="G29" s="59">
        <f>IF(ROUND(ROUND(('Loonschijven_Tranches salariale'!$Q28*0.6),4)*$Y$1,2)&lt;G$8,G$8,IF('Loonschijven_Tranches salariale'!$Q28&lt;Basisbedragen!$C$23,ROUND(ROUND(('Loonschijven_Tranches salariale'!$Q28*0.6),4)*$Y$1,2),ROUND(ROUND((Basisbedragen!$C$23*0.6),4)*$Y$1,2)))</f>
        <v>49.13</v>
      </c>
      <c r="H29" s="59">
        <f>IF(ROUND(ROUND(('Loonschijven_Tranches salariale'!$Q28*0.4),4)*$Y$1,2)&lt;H$8,H$8,IF('Loonschijven_Tranches salariale'!$Q28&lt;Basisbedragen!$C$23,ROUND(ROUND(('Loonschijven_Tranches salariale'!$Q28*0.4),4)*$Y$1,2),ROUND(ROUND((Basisbedragen!$C$23*0.4),4)*$Y$1,2)))</f>
        <v>40.72</v>
      </c>
      <c r="I29" s="59">
        <f t="shared" si="4"/>
        <v>38.31</v>
      </c>
      <c r="J29" s="59">
        <f t="shared" si="4"/>
        <v>35.909999999999997</v>
      </c>
      <c r="K29" s="59">
        <f t="shared" si="4"/>
        <v>33.5</v>
      </c>
      <c r="L29" s="59">
        <f t="shared" si="4"/>
        <v>31.1</v>
      </c>
      <c r="N29" s="234">
        <f t="shared" si="7"/>
        <v>26.06</v>
      </c>
      <c r="O29" s="59">
        <f t="shared" si="5"/>
        <v>28.69</v>
      </c>
      <c r="Q29" s="59">
        <f>IF(ROUND(ROUND(('Loonschijven_Tranches salariale'!$Q28*0.55),4)*$Y$1,2)&lt;Q$8,Q$8,IF('Loonschijven_Tranches salariale'!$Q28&lt;Basisbedragen!$C$23,ROUND(ROUND(('Loonschijven_Tranches salariale'!$Q28*0.55),4)*$Y$1,2),ROUND(ROUND((Basisbedragen!$C$23*0.55),4)*$Y$1,2)))</f>
        <v>54.55</v>
      </c>
      <c r="R29" s="59">
        <f t="shared" ref="R29:U48" si="8">IF(ROUND($Q29-(R$6*($Q29-$W29)/5),2)&lt;$X29,$X29,ROUND($Q29-(R$6*($Q29-$W29)/5),2))</f>
        <v>49.84</v>
      </c>
      <c r="S29" s="59">
        <f t="shared" si="8"/>
        <v>45.13</v>
      </c>
      <c r="T29" s="59">
        <f t="shared" si="8"/>
        <v>40.42</v>
      </c>
      <c r="U29" s="59">
        <f t="shared" si="8"/>
        <v>35.71</v>
      </c>
      <c r="W29" s="234">
        <f>N29+ROUND(Basisbedragen!$C$57*$Y$1,2)</f>
        <v>31</v>
      </c>
      <c r="X29" s="59">
        <f>$O29+ROUND(Basisbedragen!$C$57*$Y$1,2)</f>
        <v>33.630000000000003</v>
      </c>
      <c r="AO29" s="83"/>
      <c r="AU29"/>
    </row>
    <row r="30" spans="1:47" ht="15" hidden="1" outlineLevel="1" thickBot="1">
      <c r="A30" s="54">
        <f t="shared" si="6"/>
        <v>22</v>
      </c>
      <c r="C30" s="59">
        <f>IF(ROUND(ROUND(('Loonschijven_Tranches salariale'!$Q29*0.65),4)*$Y$1,2)&lt;C$8,C$8,ROUND(ROUND(('Loonschijven_Tranches salariale'!$Q29*0.65),4)*$Y$1,2))</f>
        <v>53.22</v>
      </c>
      <c r="D30" s="59">
        <f>IF(ROUND(ROUND(('Loonschijven_Tranches salariale'!$Q29*0.6),4)*$Y$1,2)&lt;D$8,D$8,ROUND(ROUND(('Loonschijven_Tranches salariale'!$Q29*0.6),4)*$Y$1,2))</f>
        <v>49.13</v>
      </c>
      <c r="E30" s="59">
        <f>IF(ROUND(ROUND(('Loonschijven_Tranches salariale'!$Q29*0.6),4)*$Y$1,2)&lt;E$8,E$8,IF('Loonschijven_Tranches salariale'!$Q29&lt;Basisbedragen!$C$24,ROUND(ROUND(('Loonschijven_Tranches salariale'!$Q29*0.6),4)*$Y$1,2),ROUND(ROUND((Basisbedragen!$C$24*0.6),4)*$Y$1,2)))</f>
        <v>49.13</v>
      </c>
      <c r="G30" s="59">
        <f>IF(ROUND(ROUND(('Loonschijven_Tranches salariale'!$Q29*0.6),4)*$Y$1,2)&lt;G$8,G$8,IF('Loonschijven_Tranches salariale'!$Q29&lt;Basisbedragen!$C$23,ROUND(ROUND(('Loonschijven_Tranches salariale'!$Q29*0.6),4)*$Y$1,2),ROUND(ROUND((Basisbedragen!$C$23*0.6),4)*$Y$1,2)))</f>
        <v>49.13</v>
      </c>
      <c r="H30" s="59">
        <f>IF(ROUND(ROUND(('Loonschijven_Tranches salariale'!$Q29*0.4),4)*$Y$1,2)&lt;H$8,H$8,IF('Loonschijven_Tranches salariale'!$Q29&lt;Basisbedragen!$C$23,ROUND(ROUND(('Loonschijven_Tranches salariale'!$Q29*0.4),4)*$Y$1,2),ROUND(ROUND((Basisbedragen!$C$23*0.4),4)*$Y$1,2)))</f>
        <v>40.72</v>
      </c>
      <c r="I30" s="59">
        <f t="shared" si="4"/>
        <v>38.31</v>
      </c>
      <c r="J30" s="59">
        <f t="shared" si="4"/>
        <v>35.909999999999997</v>
      </c>
      <c r="K30" s="59">
        <f t="shared" si="4"/>
        <v>33.5</v>
      </c>
      <c r="L30" s="59">
        <f t="shared" si="4"/>
        <v>31.1</v>
      </c>
      <c r="N30" s="234">
        <f t="shared" si="7"/>
        <v>26.06</v>
      </c>
      <c r="O30" s="59">
        <f t="shared" si="5"/>
        <v>28.69</v>
      </c>
      <c r="Q30" s="59">
        <f>IF(ROUND(ROUND(('Loonschijven_Tranches salariale'!$Q29*0.55),4)*$Y$1,2)&lt;Q$8,Q$8,IF('Loonschijven_Tranches salariale'!$Q29&lt;Basisbedragen!$C$23,ROUND(ROUND(('Loonschijven_Tranches salariale'!$Q29*0.55),4)*$Y$1,2),ROUND(ROUND((Basisbedragen!$C$23*0.55),4)*$Y$1,2)))</f>
        <v>54.55</v>
      </c>
      <c r="R30" s="59">
        <f t="shared" si="8"/>
        <v>49.84</v>
      </c>
      <c r="S30" s="59">
        <f t="shared" si="8"/>
        <v>45.13</v>
      </c>
      <c r="T30" s="59">
        <f t="shared" si="8"/>
        <v>40.42</v>
      </c>
      <c r="U30" s="59">
        <f t="shared" si="8"/>
        <v>35.71</v>
      </c>
      <c r="W30" s="234">
        <f>N30+ROUND(Basisbedragen!$C$57*$Y$1,2)</f>
        <v>31</v>
      </c>
      <c r="X30" s="59">
        <f>$O30+ROUND(Basisbedragen!$C$57*$Y$1,2)</f>
        <v>33.630000000000003</v>
      </c>
      <c r="AO30" s="83"/>
      <c r="AU30"/>
    </row>
    <row r="31" spans="1:47" ht="15" hidden="1" outlineLevel="1" thickBot="1">
      <c r="A31" s="54">
        <f t="shared" si="6"/>
        <v>23</v>
      </c>
      <c r="C31" s="59">
        <f>IF(ROUND(ROUND(('Loonschijven_Tranches salariale'!$Q30*0.65),4)*$Y$1,2)&lt;C$8,C$8,ROUND(ROUND(('Loonschijven_Tranches salariale'!$Q30*0.65),4)*$Y$1,2))</f>
        <v>53.22</v>
      </c>
      <c r="D31" s="59">
        <f>IF(ROUND(ROUND(('Loonschijven_Tranches salariale'!$Q30*0.6),4)*$Y$1,2)&lt;D$8,D$8,ROUND(ROUND(('Loonschijven_Tranches salariale'!$Q30*0.6),4)*$Y$1,2))</f>
        <v>49.13</v>
      </c>
      <c r="E31" s="59">
        <f>IF(ROUND(ROUND(('Loonschijven_Tranches salariale'!$Q30*0.6),4)*$Y$1,2)&lt;E$8,E$8,IF('Loonschijven_Tranches salariale'!$Q30&lt;Basisbedragen!$C$24,ROUND(ROUND(('Loonschijven_Tranches salariale'!$Q30*0.6),4)*$Y$1,2),ROUND(ROUND((Basisbedragen!$C$24*0.6),4)*$Y$1,2)))</f>
        <v>49.13</v>
      </c>
      <c r="G31" s="59">
        <f>IF(ROUND(ROUND(('Loonschijven_Tranches salariale'!$Q30*0.6),4)*$Y$1,2)&lt;G$8,G$8,IF('Loonschijven_Tranches salariale'!$Q30&lt;Basisbedragen!$C$23,ROUND(ROUND(('Loonschijven_Tranches salariale'!$Q30*0.6),4)*$Y$1,2),ROUND(ROUND((Basisbedragen!$C$23*0.6),4)*$Y$1,2)))</f>
        <v>49.13</v>
      </c>
      <c r="H31" s="59">
        <f>IF(ROUND(ROUND(('Loonschijven_Tranches salariale'!$Q30*0.4),4)*$Y$1,2)&lt;H$8,H$8,IF('Loonschijven_Tranches salariale'!$Q30&lt;Basisbedragen!$C$23,ROUND(ROUND(('Loonschijven_Tranches salariale'!$Q30*0.4),4)*$Y$1,2),ROUND(ROUND((Basisbedragen!$C$23*0.4),4)*$Y$1,2)))</f>
        <v>40.72</v>
      </c>
      <c r="I31" s="59">
        <f t="shared" si="4"/>
        <v>38.31</v>
      </c>
      <c r="J31" s="59">
        <f t="shared" si="4"/>
        <v>35.909999999999997</v>
      </c>
      <c r="K31" s="59">
        <f t="shared" si="4"/>
        <v>33.5</v>
      </c>
      <c r="L31" s="59">
        <f t="shared" si="4"/>
        <v>31.1</v>
      </c>
      <c r="N31" s="234">
        <f t="shared" si="7"/>
        <v>26.06</v>
      </c>
      <c r="O31" s="59">
        <f t="shared" si="5"/>
        <v>28.69</v>
      </c>
      <c r="Q31" s="59">
        <f>IF(ROUND(ROUND(('Loonschijven_Tranches salariale'!$Q30*0.55),4)*$Y$1,2)&lt;Q$8,Q$8,IF('Loonschijven_Tranches salariale'!$Q30&lt;Basisbedragen!$C$23,ROUND(ROUND(('Loonschijven_Tranches salariale'!$Q30*0.55),4)*$Y$1,2),ROUND(ROUND((Basisbedragen!$C$23*0.55),4)*$Y$1,2)))</f>
        <v>54.55</v>
      </c>
      <c r="R31" s="59">
        <f t="shared" si="8"/>
        <v>49.84</v>
      </c>
      <c r="S31" s="59">
        <f t="shared" si="8"/>
        <v>45.13</v>
      </c>
      <c r="T31" s="59">
        <f t="shared" si="8"/>
        <v>40.42</v>
      </c>
      <c r="U31" s="59">
        <f t="shared" si="8"/>
        <v>35.71</v>
      </c>
      <c r="W31" s="234">
        <f>N31+ROUND(Basisbedragen!$C$57*$Y$1,2)</f>
        <v>31</v>
      </c>
      <c r="X31" s="59">
        <f>$O31+ROUND(Basisbedragen!$C$57*$Y$1,2)</f>
        <v>33.630000000000003</v>
      </c>
      <c r="AO31" s="83"/>
      <c r="AU31"/>
    </row>
    <row r="32" spans="1:47" ht="15" hidden="1" outlineLevel="1" thickBot="1">
      <c r="A32" s="54">
        <f t="shared" si="6"/>
        <v>24</v>
      </c>
      <c r="C32" s="59">
        <f>IF(ROUND(ROUND(('Loonschijven_Tranches salariale'!$Q31*0.65),4)*$Y$1,2)&lt;C$8,C$8,ROUND(ROUND(('Loonschijven_Tranches salariale'!$Q31*0.65),4)*$Y$1,2))</f>
        <v>53.22</v>
      </c>
      <c r="D32" s="59">
        <f>IF(ROUND(ROUND(('Loonschijven_Tranches salariale'!$Q31*0.6),4)*$Y$1,2)&lt;D$8,D$8,ROUND(ROUND(('Loonschijven_Tranches salariale'!$Q31*0.6),4)*$Y$1,2))</f>
        <v>49.13</v>
      </c>
      <c r="E32" s="59">
        <f>IF(ROUND(ROUND(('Loonschijven_Tranches salariale'!$Q31*0.6),4)*$Y$1,2)&lt;E$8,E$8,IF('Loonschijven_Tranches salariale'!$Q31&lt;Basisbedragen!$C$24,ROUND(ROUND(('Loonschijven_Tranches salariale'!$Q31*0.6),4)*$Y$1,2),ROUND(ROUND((Basisbedragen!$C$24*0.6),4)*$Y$1,2)))</f>
        <v>49.13</v>
      </c>
      <c r="G32" s="59">
        <f>IF(ROUND(ROUND(('Loonschijven_Tranches salariale'!$Q31*0.6),4)*$Y$1,2)&lt;G$8,G$8,IF('Loonschijven_Tranches salariale'!$Q31&lt;Basisbedragen!$C$23,ROUND(ROUND(('Loonschijven_Tranches salariale'!$Q31*0.6),4)*$Y$1,2),ROUND(ROUND((Basisbedragen!$C$23*0.6),4)*$Y$1,2)))</f>
        <v>49.13</v>
      </c>
      <c r="H32" s="59">
        <f>IF(ROUND(ROUND(('Loonschijven_Tranches salariale'!$Q31*0.4),4)*$Y$1,2)&lt;H$8,H$8,IF('Loonschijven_Tranches salariale'!$Q31&lt;Basisbedragen!$C$23,ROUND(ROUND(('Loonschijven_Tranches salariale'!$Q31*0.4),4)*$Y$1,2),ROUND(ROUND((Basisbedragen!$C$23*0.4),4)*$Y$1,2)))</f>
        <v>40.72</v>
      </c>
      <c r="I32" s="59">
        <f t="shared" si="4"/>
        <v>38.31</v>
      </c>
      <c r="J32" s="59">
        <f t="shared" si="4"/>
        <v>35.909999999999997</v>
      </c>
      <c r="K32" s="59">
        <f t="shared" si="4"/>
        <v>33.5</v>
      </c>
      <c r="L32" s="59">
        <f t="shared" si="4"/>
        <v>31.1</v>
      </c>
      <c r="N32" s="234">
        <f t="shared" si="7"/>
        <v>26.06</v>
      </c>
      <c r="O32" s="59">
        <f t="shared" si="5"/>
        <v>28.69</v>
      </c>
      <c r="Q32" s="59">
        <f>IF(ROUND(ROUND(('Loonschijven_Tranches salariale'!$Q31*0.55),4)*$Y$1,2)&lt;Q$8,Q$8,IF('Loonschijven_Tranches salariale'!$Q31&lt;Basisbedragen!$C$23,ROUND(ROUND(('Loonschijven_Tranches salariale'!$Q31*0.55),4)*$Y$1,2),ROUND(ROUND((Basisbedragen!$C$23*0.55),4)*$Y$1,2)))</f>
        <v>54.55</v>
      </c>
      <c r="R32" s="59">
        <f t="shared" si="8"/>
        <v>49.84</v>
      </c>
      <c r="S32" s="59">
        <f t="shared" si="8"/>
        <v>45.13</v>
      </c>
      <c r="T32" s="59">
        <f t="shared" si="8"/>
        <v>40.42</v>
      </c>
      <c r="U32" s="59">
        <f t="shared" si="8"/>
        <v>35.71</v>
      </c>
      <c r="W32" s="234">
        <f>N32+ROUND(Basisbedragen!$C$57*$Y$1,2)</f>
        <v>31</v>
      </c>
      <c r="X32" s="59">
        <f>$O32+ROUND(Basisbedragen!$C$57*$Y$1,2)</f>
        <v>33.630000000000003</v>
      </c>
      <c r="AO32" s="83"/>
      <c r="AU32"/>
    </row>
    <row r="33" spans="1:47" ht="15" hidden="1" outlineLevel="1" thickBot="1">
      <c r="A33" s="54">
        <f t="shared" si="6"/>
        <v>25</v>
      </c>
      <c r="C33" s="59">
        <f>IF(ROUND(ROUND(('Loonschijven_Tranches salariale'!$Q32*0.65),4)*$Y$1,2)&lt;C$8,C$8,ROUND(ROUND(('Loonschijven_Tranches salariale'!$Q32*0.65),4)*$Y$1,2))</f>
        <v>53.22</v>
      </c>
      <c r="D33" s="59">
        <f>IF(ROUND(ROUND(('Loonschijven_Tranches salariale'!$Q32*0.6),4)*$Y$1,2)&lt;D$8,D$8,ROUND(ROUND(('Loonschijven_Tranches salariale'!$Q32*0.6),4)*$Y$1,2))</f>
        <v>49.13</v>
      </c>
      <c r="E33" s="59">
        <f>IF(ROUND(ROUND(('Loonschijven_Tranches salariale'!$Q32*0.6),4)*$Y$1,2)&lt;E$8,E$8,IF('Loonschijven_Tranches salariale'!$Q32&lt;Basisbedragen!$C$24,ROUND(ROUND(('Loonschijven_Tranches salariale'!$Q32*0.6),4)*$Y$1,2),ROUND(ROUND((Basisbedragen!$C$24*0.6),4)*$Y$1,2)))</f>
        <v>49.13</v>
      </c>
      <c r="G33" s="59">
        <f>IF(ROUND(ROUND(('Loonschijven_Tranches salariale'!$Q32*0.6),4)*$Y$1,2)&lt;G$8,G$8,IF('Loonschijven_Tranches salariale'!$Q32&lt;Basisbedragen!$C$23,ROUND(ROUND(('Loonschijven_Tranches salariale'!$Q32*0.6),4)*$Y$1,2),ROUND(ROUND((Basisbedragen!$C$23*0.6),4)*$Y$1,2)))</f>
        <v>49.13</v>
      </c>
      <c r="H33" s="59">
        <f>IF(ROUND(ROUND(('Loonschijven_Tranches salariale'!$Q32*0.4),4)*$Y$1,2)&lt;H$8,H$8,IF('Loonschijven_Tranches salariale'!$Q32&lt;Basisbedragen!$C$23,ROUND(ROUND(('Loonschijven_Tranches salariale'!$Q32*0.4),4)*$Y$1,2),ROUND(ROUND((Basisbedragen!$C$23*0.4),4)*$Y$1,2)))</f>
        <v>40.72</v>
      </c>
      <c r="I33" s="59">
        <f t="shared" si="4"/>
        <v>38.31</v>
      </c>
      <c r="J33" s="59">
        <f t="shared" si="4"/>
        <v>35.909999999999997</v>
      </c>
      <c r="K33" s="59">
        <f t="shared" si="4"/>
        <v>33.5</v>
      </c>
      <c r="L33" s="59">
        <f t="shared" si="4"/>
        <v>31.1</v>
      </c>
      <c r="N33" s="234">
        <f t="shared" si="7"/>
        <v>26.06</v>
      </c>
      <c r="O33" s="59">
        <f t="shared" si="5"/>
        <v>28.69</v>
      </c>
      <c r="Q33" s="59">
        <f>IF(ROUND(ROUND(('Loonschijven_Tranches salariale'!$Q32*0.55),4)*$Y$1,2)&lt;Q$8,Q$8,IF('Loonschijven_Tranches salariale'!$Q32&lt;Basisbedragen!$C$23,ROUND(ROUND(('Loonschijven_Tranches salariale'!$Q32*0.55),4)*$Y$1,2),ROUND(ROUND((Basisbedragen!$C$23*0.55),4)*$Y$1,2)))</f>
        <v>54.55</v>
      </c>
      <c r="R33" s="59">
        <f t="shared" si="8"/>
        <v>49.84</v>
      </c>
      <c r="S33" s="59">
        <f t="shared" si="8"/>
        <v>45.13</v>
      </c>
      <c r="T33" s="59">
        <f t="shared" si="8"/>
        <v>40.42</v>
      </c>
      <c r="U33" s="59">
        <f t="shared" si="8"/>
        <v>35.71</v>
      </c>
      <c r="W33" s="234">
        <f>N33+ROUND(Basisbedragen!$C$57*$Y$1,2)</f>
        <v>31</v>
      </c>
      <c r="X33" s="59">
        <f>$O33+ROUND(Basisbedragen!$C$57*$Y$1,2)</f>
        <v>33.630000000000003</v>
      </c>
      <c r="AO33" s="83"/>
      <c r="AU33"/>
    </row>
    <row r="34" spans="1:47" ht="15" hidden="1" outlineLevel="1" thickBot="1">
      <c r="A34" s="54">
        <f t="shared" si="6"/>
        <v>26</v>
      </c>
      <c r="C34" s="59">
        <f>IF(ROUND(ROUND(('Loonschijven_Tranches salariale'!$Q33*0.65),4)*$Y$1,2)&lt;C$8,C$8,ROUND(ROUND(('Loonschijven_Tranches salariale'!$Q33*0.65),4)*$Y$1,2))</f>
        <v>53.22</v>
      </c>
      <c r="D34" s="59">
        <f>IF(ROUND(ROUND(('Loonschijven_Tranches salariale'!$Q33*0.6),4)*$Y$1,2)&lt;D$8,D$8,ROUND(ROUND(('Loonschijven_Tranches salariale'!$Q33*0.6),4)*$Y$1,2))</f>
        <v>49.13</v>
      </c>
      <c r="E34" s="59">
        <f>IF(ROUND(ROUND(('Loonschijven_Tranches salariale'!$Q33*0.6),4)*$Y$1,2)&lt;E$8,E$8,IF('Loonschijven_Tranches salariale'!$Q33&lt;Basisbedragen!$C$24,ROUND(ROUND(('Loonschijven_Tranches salariale'!$Q33*0.6),4)*$Y$1,2),ROUND(ROUND((Basisbedragen!$C$24*0.6),4)*$Y$1,2)))</f>
        <v>49.13</v>
      </c>
      <c r="G34" s="59">
        <f>IF(ROUND(ROUND(('Loonschijven_Tranches salariale'!$Q33*0.6),4)*$Y$1,2)&lt;G$8,G$8,IF('Loonschijven_Tranches salariale'!$Q33&lt;Basisbedragen!$C$23,ROUND(ROUND(('Loonschijven_Tranches salariale'!$Q33*0.6),4)*$Y$1,2),ROUND(ROUND((Basisbedragen!$C$23*0.6),4)*$Y$1,2)))</f>
        <v>49.13</v>
      </c>
      <c r="H34" s="59">
        <f>IF(ROUND(ROUND(('Loonschijven_Tranches salariale'!$Q33*0.4),4)*$Y$1,2)&lt;H$8,H$8,IF('Loonschijven_Tranches salariale'!$Q33&lt;Basisbedragen!$C$23,ROUND(ROUND(('Loonschijven_Tranches salariale'!$Q33*0.4),4)*$Y$1,2),ROUND(ROUND((Basisbedragen!$C$23*0.4),4)*$Y$1,2)))</f>
        <v>40.72</v>
      </c>
      <c r="I34" s="59">
        <f t="shared" si="4"/>
        <v>38.31</v>
      </c>
      <c r="J34" s="59">
        <f t="shared" si="4"/>
        <v>35.909999999999997</v>
      </c>
      <c r="K34" s="59">
        <f t="shared" si="4"/>
        <v>33.5</v>
      </c>
      <c r="L34" s="59">
        <f t="shared" si="4"/>
        <v>31.1</v>
      </c>
      <c r="N34" s="234">
        <f t="shared" si="7"/>
        <v>26.06</v>
      </c>
      <c r="O34" s="59">
        <f t="shared" si="5"/>
        <v>28.69</v>
      </c>
      <c r="Q34" s="59">
        <f>IF(ROUND(ROUND(('Loonschijven_Tranches salariale'!$Q33*0.55),4)*$Y$1,2)&lt;Q$8,Q$8,IF('Loonschijven_Tranches salariale'!$Q33&lt;Basisbedragen!$C$23,ROUND(ROUND(('Loonschijven_Tranches salariale'!$Q33*0.55),4)*$Y$1,2),ROUND(ROUND((Basisbedragen!$C$23*0.55),4)*$Y$1,2)))</f>
        <v>54.55</v>
      </c>
      <c r="R34" s="59">
        <f t="shared" si="8"/>
        <v>49.84</v>
      </c>
      <c r="S34" s="59">
        <f t="shared" si="8"/>
        <v>45.13</v>
      </c>
      <c r="T34" s="59">
        <f t="shared" si="8"/>
        <v>40.42</v>
      </c>
      <c r="U34" s="59">
        <f t="shared" si="8"/>
        <v>35.71</v>
      </c>
      <c r="W34" s="234">
        <f>N34+ROUND(Basisbedragen!$C$57*$Y$1,2)</f>
        <v>31</v>
      </c>
      <c r="X34" s="59">
        <f>$O34+ROUND(Basisbedragen!$C$57*$Y$1,2)</f>
        <v>33.630000000000003</v>
      </c>
      <c r="AO34" s="83"/>
      <c r="AU34"/>
    </row>
    <row r="35" spans="1:47" ht="15" hidden="1" outlineLevel="1" thickBot="1">
      <c r="A35" s="54">
        <f t="shared" si="6"/>
        <v>27</v>
      </c>
      <c r="C35" s="59">
        <f>IF(ROUND(ROUND(('Loonschijven_Tranches salariale'!$Q34*0.65),4)*$Y$1,2)&lt;C$8,C$8,ROUND(ROUND(('Loonschijven_Tranches salariale'!$Q34*0.65),4)*$Y$1,2))</f>
        <v>53.22</v>
      </c>
      <c r="D35" s="59">
        <f>IF(ROUND(ROUND(('Loonschijven_Tranches salariale'!$Q34*0.6),4)*$Y$1,2)&lt;D$8,D$8,ROUND(ROUND(('Loonschijven_Tranches salariale'!$Q34*0.6),4)*$Y$1,2))</f>
        <v>49.13</v>
      </c>
      <c r="E35" s="59">
        <f>IF(ROUND(ROUND(('Loonschijven_Tranches salariale'!$Q34*0.6),4)*$Y$1,2)&lt;E$8,E$8,IF('Loonschijven_Tranches salariale'!$Q34&lt;Basisbedragen!$C$24,ROUND(ROUND(('Loonschijven_Tranches salariale'!$Q34*0.6),4)*$Y$1,2),ROUND(ROUND((Basisbedragen!$C$24*0.6),4)*$Y$1,2)))</f>
        <v>49.13</v>
      </c>
      <c r="G35" s="59">
        <f>IF(ROUND(ROUND(('Loonschijven_Tranches salariale'!$Q34*0.6),4)*$Y$1,2)&lt;G$8,G$8,IF('Loonschijven_Tranches salariale'!$Q34&lt;Basisbedragen!$C$23,ROUND(ROUND(('Loonschijven_Tranches salariale'!$Q34*0.6),4)*$Y$1,2),ROUND(ROUND((Basisbedragen!$C$23*0.6),4)*$Y$1,2)))</f>
        <v>49.13</v>
      </c>
      <c r="H35" s="59">
        <f>IF(ROUND(ROUND(('Loonschijven_Tranches salariale'!$Q34*0.4),4)*$Y$1,2)&lt;H$8,H$8,IF('Loonschijven_Tranches salariale'!$Q34&lt;Basisbedragen!$C$23,ROUND(ROUND(('Loonschijven_Tranches salariale'!$Q34*0.4),4)*$Y$1,2),ROUND(ROUND((Basisbedragen!$C$23*0.4),4)*$Y$1,2)))</f>
        <v>40.72</v>
      </c>
      <c r="I35" s="59">
        <f t="shared" si="4"/>
        <v>38.31</v>
      </c>
      <c r="J35" s="59">
        <f t="shared" si="4"/>
        <v>35.909999999999997</v>
      </c>
      <c r="K35" s="59">
        <f t="shared" si="4"/>
        <v>33.5</v>
      </c>
      <c r="L35" s="59">
        <f t="shared" si="4"/>
        <v>31.1</v>
      </c>
      <c r="N35" s="234">
        <f t="shared" si="7"/>
        <v>26.06</v>
      </c>
      <c r="O35" s="59">
        <f t="shared" si="5"/>
        <v>28.69</v>
      </c>
      <c r="Q35" s="59">
        <f>IF(ROUND(ROUND(('Loonschijven_Tranches salariale'!$Q34*0.55),4)*$Y$1,2)&lt;Q$8,Q$8,IF('Loonschijven_Tranches salariale'!$Q34&lt;Basisbedragen!$C$23,ROUND(ROUND(('Loonschijven_Tranches salariale'!$Q34*0.55),4)*$Y$1,2),ROUND(ROUND((Basisbedragen!$C$23*0.55),4)*$Y$1,2)))</f>
        <v>54.55</v>
      </c>
      <c r="R35" s="59">
        <f t="shared" si="8"/>
        <v>49.84</v>
      </c>
      <c r="S35" s="59">
        <f t="shared" si="8"/>
        <v>45.13</v>
      </c>
      <c r="T35" s="59">
        <f t="shared" si="8"/>
        <v>40.42</v>
      </c>
      <c r="U35" s="59">
        <f t="shared" si="8"/>
        <v>35.71</v>
      </c>
      <c r="W35" s="234">
        <f>N35+ROUND(Basisbedragen!$C$57*$Y$1,2)</f>
        <v>31</v>
      </c>
      <c r="X35" s="59">
        <f>$O35+ROUND(Basisbedragen!$C$57*$Y$1,2)</f>
        <v>33.630000000000003</v>
      </c>
      <c r="AO35" s="83"/>
      <c r="AU35"/>
    </row>
    <row r="36" spans="1:47" ht="15" hidden="1" outlineLevel="1" thickBot="1">
      <c r="A36" s="54">
        <f t="shared" si="6"/>
        <v>28</v>
      </c>
      <c r="C36" s="59">
        <f>IF(ROUND(ROUND(('Loonschijven_Tranches salariale'!$Q35*0.65),4)*$Y$1,2)&lt;C$8,C$8,ROUND(ROUND(('Loonschijven_Tranches salariale'!$Q35*0.65),4)*$Y$1,2))</f>
        <v>53.22</v>
      </c>
      <c r="D36" s="59">
        <f>IF(ROUND(ROUND(('Loonschijven_Tranches salariale'!$Q35*0.6),4)*$Y$1,2)&lt;D$8,D$8,ROUND(ROUND(('Loonschijven_Tranches salariale'!$Q35*0.6),4)*$Y$1,2))</f>
        <v>49.13</v>
      </c>
      <c r="E36" s="59">
        <f>IF(ROUND(ROUND(('Loonschijven_Tranches salariale'!$Q35*0.6),4)*$Y$1,2)&lt;E$8,E$8,IF('Loonschijven_Tranches salariale'!$Q35&lt;Basisbedragen!$C$24,ROUND(ROUND(('Loonschijven_Tranches salariale'!$Q35*0.6),4)*$Y$1,2),ROUND(ROUND((Basisbedragen!$C$24*0.6),4)*$Y$1,2)))</f>
        <v>49.13</v>
      </c>
      <c r="G36" s="59">
        <f>IF(ROUND(ROUND(('Loonschijven_Tranches salariale'!$Q35*0.6),4)*$Y$1,2)&lt;G$8,G$8,IF('Loonschijven_Tranches salariale'!$Q35&lt;Basisbedragen!$C$23,ROUND(ROUND(('Loonschijven_Tranches salariale'!$Q35*0.6),4)*$Y$1,2),ROUND(ROUND((Basisbedragen!$C$23*0.6),4)*$Y$1,2)))</f>
        <v>49.13</v>
      </c>
      <c r="H36" s="59">
        <f>IF(ROUND(ROUND(('Loonschijven_Tranches salariale'!$Q35*0.4),4)*$Y$1,2)&lt;H$8,H$8,IF('Loonschijven_Tranches salariale'!$Q35&lt;Basisbedragen!$C$23,ROUND(ROUND(('Loonschijven_Tranches salariale'!$Q35*0.4),4)*$Y$1,2),ROUND(ROUND((Basisbedragen!$C$23*0.4),4)*$Y$1,2)))</f>
        <v>40.72</v>
      </c>
      <c r="I36" s="59">
        <f t="shared" si="4"/>
        <v>38.31</v>
      </c>
      <c r="J36" s="59">
        <f t="shared" si="4"/>
        <v>35.909999999999997</v>
      </c>
      <c r="K36" s="59">
        <f t="shared" si="4"/>
        <v>33.5</v>
      </c>
      <c r="L36" s="59">
        <f t="shared" si="4"/>
        <v>31.1</v>
      </c>
      <c r="N36" s="234">
        <f t="shared" si="7"/>
        <v>26.06</v>
      </c>
      <c r="O36" s="59">
        <f t="shared" si="5"/>
        <v>28.69</v>
      </c>
      <c r="Q36" s="59">
        <f>IF(ROUND(ROUND(('Loonschijven_Tranches salariale'!$Q35*0.55),4)*$Y$1,2)&lt;Q$8,Q$8,IF('Loonschijven_Tranches salariale'!$Q35&lt;Basisbedragen!$C$23,ROUND(ROUND(('Loonschijven_Tranches salariale'!$Q35*0.55),4)*$Y$1,2),ROUND(ROUND((Basisbedragen!$C$23*0.55),4)*$Y$1,2)))</f>
        <v>54.55</v>
      </c>
      <c r="R36" s="59">
        <f t="shared" si="8"/>
        <v>49.84</v>
      </c>
      <c r="S36" s="59">
        <f t="shared" si="8"/>
        <v>45.13</v>
      </c>
      <c r="T36" s="59">
        <f t="shared" si="8"/>
        <v>40.42</v>
      </c>
      <c r="U36" s="59">
        <f t="shared" si="8"/>
        <v>35.71</v>
      </c>
      <c r="W36" s="234">
        <f>N36+ROUND(Basisbedragen!$C$57*$Y$1,2)</f>
        <v>31</v>
      </c>
      <c r="X36" s="59">
        <f>$O36+ROUND(Basisbedragen!$C$57*$Y$1,2)</f>
        <v>33.630000000000003</v>
      </c>
      <c r="AO36" s="83"/>
      <c r="AU36"/>
    </row>
    <row r="37" spans="1:47" ht="15" hidden="1" outlineLevel="1" thickBot="1">
      <c r="A37" s="54">
        <f t="shared" si="6"/>
        <v>29</v>
      </c>
      <c r="C37" s="59">
        <f>IF(ROUND(ROUND(('Loonschijven_Tranches salariale'!$Q36*0.65),4)*$Y$1,2)&lt;C$8,C$8,ROUND(ROUND(('Loonschijven_Tranches salariale'!$Q36*0.65),4)*$Y$1,2))</f>
        <v>53.22</v>
      </c>
      <c r="D37" s="59">
        <f>IF(ROUND(ROUND(('Loonschijven_Tranches salariale'!$Q36*0.6),4)*$Y$1,2)&lt;D$8,D$8,ROUND(ROUND(('Loonschijven_Tranches salariale'!$Q36*0.6),4)*$Y$1,2))</f>
        <v>49.13</v>
      </c>
      <c r="E37" s="59">
        <f>IF(ROUND(ROUND(('Loonschijven_Tranches salariale'!$Q36*0.6),4)*$Y$1,2)&lt;E$8,E$8,IF('Loonschijven_Tranches salariale'!$Q36&lt;Basisbedragen!$C$24,ROUND(ROUND(('Loonschijven_Tranches salariale'!$Q36*0.6),4)*$Y$1,2),ROUND(ROUND((Basisbedragen!$C$24*0.6),4)*$Y$1,2)))</f>
        <v>49.13</v>
      </c>
      <c r="G37" s="59">
        <f>IF(ROUND(ROUND(('Loonschijven_Tranches salariale'!$Q36*0.6),4)*$Y$1,2)&lt;G$8,G$8,IF('Loonschijven_Tranches salariale'!$Q36&lt;Basisbedragen!$C$23,ROUND(ROUND(('Loonschijven_Tranches salariale'!$Q36*0.6),4)*$Y$1,2),ROUND(ROUND((Basisbedragen!$C$23*0.6),4)*$Y$1,2)))</f>
        <v>49.13</v>
      </c>
      <c r="H37" s="59">
        <f>IF(ROUND(ROUND(('Loonschijven_Tranches salariale'!$Q36*0.4),4)*$Y$1,2)&lt;H$8,H$8,IF('Loonschijven_Tranches salariale'!$Q36&lt;Basisbedragen!$C$23,ROUND(ROUND(('Loonschijven_Tranches salariale'!$Q36*0.4),4)*$Y$1,2),ROUND(ROUND((Basisbedragen!$C$23*0.4),4)*$Y$1,2)))</f>
        <v>40.72</v>
      </c>
      <c r="I37" s="59">
        <f t="shared" si="4"/>
        <v>38.31</v>
      </c>
      <c r="J37" s="59">
        <f t="shared" si="4"/>
        <v>35.909999999999997</v>
      </c>
      <c r="K37" s="59">
        <f t="shared" si="4"/>
        <v>33.5</v>
      </c>
      <c r="L37" s="59">
        <f t="shared" si="4"/>
        <v>31.1</v>
      </c>
      <c r="N37" s="234">
        <f t="shared" si="7"/>
        <v>26.06</v>
      </c>
      <c r="O37" s="59">
        <f t="shared" si="5"/>
        <v>28.69</v>
      </c>
      <c r="Q37" s="59">
        <f>IF(ROUND(ROUND(('Loonschijven_Tranches salariale'!$Q36*0.55),4)*$Y$1,2)&lt;Q$8,Q$8,IF('Loonschijven_Tranches salariale'!$Q36&lt;Basisbedragen!$C$23,ROUND(ROUND(('Loonschijven_Tranches salariale'!$Q36*0.55),4)*$Y$1,2),ROUND(ROUND((Basisbedragen!$C$23*0.55),4)*$Y$1,2)))</f>
        <v>54.55</v>
      </c>
      <c r="R37" s="59">
        <f t="shared" si="8"/>
        <v>49.84</v>
      </c>
      <c r="S37" s="59">
        <f t="shared" si="8"/>
        <v>45.13</v>
      </c>
      <c r="T37" s="59">
        <f t="shared" si="8"/>
        <v>40.42</v>
      </c>
      <c r="U37" s="59">
        <f t="shared" si="8"/>
        <v>35.71</v>
      </c>
      <c r="W37" s="234">
        <f>N37+ROUND(Basisbedragen!$C$57*$Y$1,2)</f>
        <v>31</v>
      </c>
      <c r="X37" s="59">
        <f>$O37+ROUND(Basisbedragen!$C$57*$Y$1,2)</f>
        <v>33.630000000000003</v>
      </c>
      <c r="AO37" s="83"/>
      <c r="AU37"/>
    </row>
    <row r="38" spans="1:47" ht="15" hidden="1" outlineLevel="1" thickBot="1">
      <c r="A38" s="54">
        <f t="shared" si="6"/>
        <v>30</v>
      </c>
      <c r="C38" s="59">
        <f>IF(ROUND(ROUND(('Loonschijven_Tranches salariale'!$Q37*0.65),4)*$Y$1,2)&lt;C$8,C$8,ROUND(ROUND(('Loonschijven_Tranches salariale'!$Q37*0.65),4)*$Y$1,2))</f>
        <v>53.22</v>
      </c>
      <c r="D38" s="59">
        <f>IF(ROUND(ROUND(('Loonschijven_Tranches salariale'!$Q37*0.6),4)*$Y$1,2)&lt;D$8,D$8,ROUND(ROUND(('Loonschijven_Tranches salariale'!$Q37*0.6),4)*$Y$1,2))</f>
        <v>49.13</v>
      </c>
      <c r="E38" s="59">
        <f>IF(ROUND(ROUND(('Loonschijven_Tranches salariale'!$Q37*0.6),4)*$Y$1,2)&lt;E$8,E$8,IF('Loonschijven_Tranches salariale'!$Q37&lt;Basisbedragen!$C$24,ROUND(ROUND(('Loonschijven_Tranches salariale'!$Q37*0.6),4)*$Y$1,2),ROUND(ROUND((Basisbedragen!$C$24*0.6),4)*$Y$1,2)))</f>
        <v>49.13</v>
      </c>
      <c r="G38" s="59">
        <f>IF(ROUND(ROUND(('Loonschijven_Tranches salariale'!$Q37*0.6),4)*$Y$1,2)&lt;G$8,G$8,IF('Loonschijven_Tranches salariale'!$Q37&lt;Basisbedragen!$C$23,ROUND(ROUND(('Loonschijven_Tranches salariale'!$Q37*0.6),4)*$Y$1,2),ROUND(ROUND((Basisbedragen!$C$23*0.6),4)*$Y$1,2)))</f>
        <v>49.13</v>
      </c>
      <c r="H38" s="59">
        <f>IF(ROUND(ROUND(('Loonschijven_Tranches salariale'!$Q37*0.4),4)*$Y$1,2)&lt;H$8,H$8,IF('Loonschijven_Tranches salariale'!$Q37&lt;Basisbedragen!$C$23,ROUND(ROUND(('Loonschijven_Tranches salariale'!$Q37*0.4),4)*$Y$1,2),ROUND(ROUND((Basisbedragen!$C$23*0.4),4)*$Y$1,2)))</f>
        <v>40.72</v>
      </c>
      <c r="I38" s="59">
        <f t="shared" si="4"/>
        <v>38.31</v>
      </c>
      <c r="J38" s="59">
        <f t="shared" si="4"/>
        <v>35.909999999999997</v>
      </c>
      <c r="K38" s="59">
        <f t="shared" si="4"/>
        <v>33.5</v>
      </c>
      <c r="L38" s="59">
        <f t="shared" si="4"/>
        <v>31.1</v>
      </c>
      <c r="N38" s="234">
        <f t="shared" si="7"/>
        <v>26.06</v>
      </c>
      <c r="O38" s="59">
        <f t="shared" si="5"/>
        <v>28.69</v>
      </c>
      <c r="Q38" s="59">
        <f>IF(ROUND(ROUND(('Loonschijven_Tranches salariale'!$Q37*0.55),4)*$Y$1,2)&lt;Q$8,Q$8,IF('Loonschijven_Tranches salariale'!$Q37&lt;Basisbedragen!$C$23,ROUND(ROUND(('Loonschijven_Tranches salariale'!$Q37*0.55),4)*$Y$1,2),ROUND(ROUND((Basisbedragen!$C$23*0.55),4)*$Y$1,2)))</f>
        <v>54.55</v>
      </c>
      <c r="R38" s="59">
        <f t="shared" si="8"/>
        <v>49.84</v>
      </c>
      <c r="S38" s="59">
        <f t="shared" si="8"/>
        <v>45.13</v>
      </c>
      <c r="T38" s="59">
        <f t="shared" si="8"/>
        <v>40.42</v>
      </c>
      <c r="U38" s="59">
        <f t="shared" si="8"/>
        <v>35.71</v>
      </c>
      <c r="W38" s="234">
        <f>N38+ROUND(Basisbedragen!$C$57*$Y$1,2)</f>
        <v>31</v>
      </c>
      <c r="X38" s="59">
        <f>$O38+ROUND(Basisbedragen!$C$57*$Y$1,2)</f>
        <v>33.630000000000003</v>
      </c>
      <c r="AO38" s="83"/>
      <c r="AU38"/>
    </row>
    <row r="39" spans="1:47" ht="15" hidden="1" outlineLevel="1" thickBot="1">
      <c r="A39" s="54">
        <f t="shared" si="6"/>
        <v>31</v>
      </c>
      <c r="C39" s="59">
        <f>IF(ROUND(ROUND(('Loonschijven_Tranches salariale'!$Q38*0.65),4)*$Y$1,2)&lt;C$8,C$8,ROUND(ROUND(('Loonschijven_Tranches salariale'!$Q38*0.65),4)*$Y$1,2))</f>
        <v>53.22</v>
      </c>
      <c r="D39" s="59">
        <f>IF(ROUND(ROUND(('Loonschijven_Tranches salariale'!$Q38*0.6),4)*$Y$1,2)&lt;D$8,D$8,ROUND(ROUND(('Loonschijven_Tranches salariale'!$Q38*0.6),4)*$Y$1,2))</f>
        <v>49.13</v>
      </c>
      <c r="E39" s="59">
        <f>IF(ROUND(ROUND(('Loonschijven_Tranches salariale'!$Q38*0.6),4)*$Y$1,2)&lt;E$8,E$8,IF('Loonschijven_Tranches salariale'!$Q38&lt;Basisbedragen!$C$24,ROUND(ROUND(('Loonschijven_Tranches salariale'!$Q38*0.6),4)*$Y$1,2),ROUND(ROUND((Basisbedragen!$C$24*0.6),4)*$Y$1,2)))</f>
        <v>49.13</v>
      </c>
      <c r="G39" s="59">
        <f>IF(ROUND(ROUND(('Loonschijven_Tranches salariale'!$Q38*0.6),4)*$Y$1,2)&lt;G$8,G$8,IF('Loonschijven_Tranches salariale'!$Q38&lt;Basisbedragen!$C$23,ROUND(ROUND(('Loonschijven_Tranches salariale'!$Q38*0.6),4)*$Y$1,2),ROUND(ROUND((Basisbedragen!$C$23*0.6),4)*$Y$1,2)))</f>
        <v>49.13</v>
      </c>
      <c r="H39" s="59">
        <f>IF(ROUND(ROUND(('Loonschijven_Tranches salariale'!$Q38*0.4),4)*$Y$1,2)&lt;H$8,H$8,IF('Loonschijven_Tranches salariale'!$Q38&lt;Basisbedragen!$C$23,ROUND(ROUND(('Loonschijven_Tranches salariale'!$Q38*0.4),4)*$Y$1,2),ROUND(ROUND((Basisbedragen!$C$23*0.4),4)*$Y$1,2)))</f>
        <v>40.72</v>
      </c>
      <c r="I39" s="59">
        <f t="shared" si="4"/>
        <v>38.31</v>
      </c>
      <c r="J39" s="59">
        <f t="shared" si="4"/>
        <v>35.909999999999997</v>
      </c>
      <c r="K39" s="59">
        <f t="shared" si="4"/>
        <v>33.5</v>
      </c>
      <c r="L39" s="59">
        <f t="shared" si="4"/>
        <v>31.1</v>
      </c>
      <c r="N39" s="234">
        <f t="shared" si="7"/>
        <v>26.06</v>
      </c>
      <c r="O39" s="59">
        <f t="shared" si="5"/>
        <v>28.69</v>
      </c>
      <c r="Q39" s="59">
        <f>IF(ROUND(ROUND(('Loonschijven_Tranches salariale'!$Q38*0.55),4)*$Y$1,2)&lt;Q$8,Q$8,IF('Loonschijven_Tranches salariale'!$Q38&lt;Basisbedragen!$C$23,ROUND(ROUND(('Loonschijven_Tranches salariale'!$Q38*0.55),4)*$Y$1,2),ROUND(ROUND((Basisbedragen!$C$23*0.55),4)*$Y$1,2)))</f>
        <v>54.55</v>
      </c>
      <c r="R39" s="59">
        <f t="shared" si="8"/>
        <v>49.84</v>
      </c>
      <c r="S39" s="59">
        <f t="shared" si="8"/>
        <v>45.13</v>
      </c>
      <c r="T39" s="59">
        <f t="shared" si="8"/>
        <v>40.42</v>
      </c>
      <c r="U39" s="59">
        <f t="shared" si="8"/>
        <v>35.71</v>
      </c>
      <c r="W39" s="234">
        <f>N39+ROUND(Basisbedragen!$C$57*$Y$1,2)</f>
        <v>31</v>
      </c>
      <c r="X39" s="59">
        <f>$O39+ROUND(Basisbedragen!$C$57*$Y$1,2)</f>
        <v>33.630000000000003</v>
      </c>
      <c r="AO39" s="83"/>
      <c r="AU39"/>
    </row>
    <row r="40" spans="1:47" ht="15" hidden="1" outlineLevel="1" thickBot="1">
      <c r="A40" s="54">
        <f t="shared" si="6"/>
        <v>32</v>
      </c>
      <c r="C40" s="59">
        <f>IF(ROUND(ROUND(('Loonschijven_Tranches salariale'!$Q39*0.65),4)*$Y$1,2)&lt;C$8,C$8,ROUND(ROUND(('Loonschijven_Tranches salariale'!$Q39*0.65),4)*$Y$1,2))</f>
        <v>53.22</v>
      </c>
      <c r="D40" s="59">
        <f>IF(ROUND(ROUND(('Loonschijven_Tranches salariale'!$Q39*0.6),4)*$Y$1,2)&lt;D$8,D$8,ROUND(ROUND(('Loonschijven_Tranches salariale'!$Q39*0.6),4)*$Y$1,2))</f>
        <v>49.13</v>
      </c>
      <c r="E40" s="59">
        <f>IF(ROUND(ROUND(('Loonschijven_Tranches salariale'!$Q39*0.6),4)*$Y$1,2)&lt;E$8,E$8,IF('Loonschijven_Tranches salariale'!$Q39&lt;Basisbedragen!$C$24,ROUND(ROUND(('Loonschijven_Tranches salariale'!$Q39*0.6),4)*$Y$1,2),ROUND(ROUND((Basisbedragen!$C$24*0.6),4)*$Y$1,2)))</f>
        <v>49.13</v>
      </c>
      <c r="G40" s="59">
        <f>IF(ROUND(ROUND(('Loonschijven_Tranches salariale'!$Q39*0.6),4)*$Y$1,2)&lt;G$8,G$8,IF('Loonschijven_Tranches salariale'!$Q39&lt;Basisbedragen!$C$23,ROUND(ROUND(('Loonschijven_Tranches salariale'!$Q39*0.6),4)*$Y$1,2),ROUND(ROUND((Basisbedragen!$C$23*0.6),4)*$Y$1,2)))</f>
        <v>49.13</v>
      </c>
      <c r="H40" s="59">
        <f>IF(ROUND(ROUND(('Loonschijven_Tranches salariale'!$Q39*0.4),4)*$Y$1,2)&lt;H$8,H$8,IF('Loonschijven_Tranches salariale'!$Q39&lt;Basisbedragen!$C$23,ROUND(ROUND(('Loonschijven_Tranches salariale'!$Q39*0.4),4)*$Y$1,2),ROUND(ROUND((Basisbedragen!$C$23*0.4),4)*$Y$1,2)))</f>
        <v>40.72</v>
      </c>
      <c r="I40" s="59">
        <f t="shared" si="4"/>
        <v>38.31</v>
      </c>
      <c r="J40" s="59">
        <f t="shared" si="4"/>
        <v>35.909999999999997</v>
      </c>
      <c r="K40" s="59">
        <f t="shared" si="4"/>
        <v>33.5</v>
      </c>
      <c r="L40" s="59">
        <f t="shared" si="4"/>
        <v>31.1</v>
      </c>
      <c r="N40" s="234">
        <f t="shared" si="7"/>
        <v>26.06</v>
      </c>
      <c r="O40" s="59">
        <f t="shared" si="5"/>
        <v>28.69</v>
      </c>
      <c r="Q40" s="59">
        <f>IF(ROUND(ROUND(('Loonschijven_Tranches salariale'!$Q39*0.55),4)*$Y$1,2)&lt;Q$8,Q$8,IF('Loonschijven_Tranches salariale'!$Q39&lt;Basisbedragen!$C$23,ROUND(ROUND(('Loonschijven_Tranches salariale'!$Q39*0.55),4)*$Y$1,2),ROUND(ROUND((Basisbedragen!$C$23*0.55),4)*$Y$1,2)))</f>
        <v>54.55</v>
      </c>
      <c r="R40" s="59">
        <f t="shared" si="8"/>
        <v>49.84</v>
      </c>
      <c r="S40" s="59">
        <f t="shared" si="8"/>
        <v>45.13</v>
      </c>
      <c r="T40" s="59">
        <f t="shared" si="8"/>
        <v>40.42</v>
      </c>
      <c r="U40" s="59">
        <f t="shared" si="8"/>
        <v>35.71</v>
      </c>
      <c r="W40" s="234">
        <f>N40+ROUND(Basisbedragen!$C$57*$Y$1,2)</f>
        <v>31</v>
      </c>
      <c r="X40" s="59">
        <f>$O40+ROUND(Basisbedragen!$C$57*$Y$1,2)</f>
        <v>33.630000000000003</v>
      </c>
      <c r="AO40" s="83"/>
      <c r="AU40"/>
    </row>
    <row r="41" spans="1:47" ht="15" hidden="1" outlineLevel="1" thickBot="1">
      <c r="A41" s="54">
        <f t="shared" si="6"/>
        <v>33</v>
      </c>
      <c r="C41" s="59">
        <f>IF(ROUND(ROUND(('Loonschijven_Tranches salariale'!$Q40*0.65),4)*$Y$1,2)&lt;C$8,C$8,ROUND(ROUND(('Loonschijven_Tranches salariale'!$Q40*0.65),4)*$Y$1,2))</f>
        <v>53.22</v>
      </c>
      <c r="D41" s="59">
        <f>IF(ROUND(ROUND(('Loonschijven_Tranches salariale'!$Q40*0.6),4)*$Y$1,2)&lt;D$8,D$8,ROUND(ROUND(('Loonschijven_Tranches salariale'!$Q40*0.6),4)*$Y$1,2))</f>
        <v>49.13</v>
      </c>
      <c r="E41" s="59">
        <f>IF(ROUND(ROUND(('Loonschijven_Tranches salariale'!$Q40*0.6),4)*$Y$1,2)&lt;E$8,E$8,IF('Loonschijven_Tranches salariale'!$Q40&lt;Basisbedragen!$C$24,ROUND(ROUND(('Loonschijven_Tranches salariale'!$Q40*0.6),4)*$Y$1,2),ROUND(ROUND((Basisbedragen!$C$24*0.6),4)*$Y$1,2)))</f>
        <v>49.13</v>
      </c>
      <c r="G41" s="59">
        <f>IF(ROUND(ROUND(('Loonschijven_Tranches salariale'!$Q40*0.6),4)*$Y$1,2)&lt;G$8,G$8,IF('Loonschijven_Tranches salariale'!$Q40&lt;Basisbedragen!$C$23,ROUND(ROUND(('Loonschijven_Tranches salariale'!$Q40*0.6),4)*$Y$1,2),ROUND(ROUND((Basisbedragen!$C$23*0.6),4)*$Y$1,2)))</f>
        <v>49.13</v>
      </c>
      <c r="H41" s="59">
        <f>IF(ROUND(ROUND(('Loonschijven_Tranches salariale'!$Q40*0.4),4)*$Y$1,2)&lt;H$8,H$8,IF('Loonschijven_Tranches salariale'!$Q40&lt;Basisbedragen!$C$23,ROUND(ROUND(('Loonschijven_Tranches salariale'!$Q40*0.4),4)*$Y$1,2),ROUND(ROUND((Basisbedragen!$C$23*0.4),4)*$Y$1,2)))</f>
        <v>40.72</v>
      </c>
      <c r="I41" s="59">
        <f t="shared" si="4"/>
        <v>38.31</v>
      </c>
      <c r="J41" s="59">
        <f t="shared" si="4"/>
        <v>35.909999999999997</v>
      </c>
      <c r="K41" s="59">
        <f t="shared" si="4"/>
        <v>33.5</v>
      </c>
      <c r="L41" s="59">
        <f t="shared" si="4"/>
        <v>31.1</v>
      </c>
      <c r="N41" s="234">
        <f t="shared" si="7"/>
        <v>26.06</v>
      </c>
      <c r="O41" s="59">
        <f t="shared" si="5"/>
        <v>28.69</v>
      </c>
      <c r="Q41" s="59">
        <f>IF(ROUND(ROUND(('Loonschijven_Tranches salariale'!$Q40*0.55),4)*$Y$1,2)&lt;Q$8,Q$8,IF('Loonschijven_Tranches salariale'!$Q40&lt;Basisbedragen!$C$23,ROUND(ROUND(('Loonschijven_Tranches salariale'!$Q40*0.55),4)*$Y$1,2),ROUND(ROUND((Basisbedragen!$C$23*0.55),4)*$Y$1,2)))</f>
        <v>54.55</v>
      </c>
      <c r="R41" s="59">
        <f t="shared" si="8"/>
        <v>49.84</v>
      </c>
      <c r="S41" s="59">
        <f t="shared" si="8"/>
        <v>45.13</v>
      </c>
      <c r="T41" s="59">
        <f t="shared" si="8"/>
        <v>40.42</v>
      </c>
      <c r="U41" s="59">
        <f t="shared" si="8"/>
        <v>35.71</v>
      </c>
      <c r="W41" s="234">
        <f>N41+ROUND(Basisbedragen!$C$57*$Y$1,2)</f>
        <v>31</v>
      </c>
      <c r="X41" s="59">
        <f>$O41+ROUND(Basisbedragen!$C$57*$Y$1,2)</f>
        <v>33.630000000000003</v>
      </c>
      <c r="AO41" s="83"/>
      <c r="AU41"/>
    </row>
    <row r="42" spans="1:47" ht="15" hidden="1" outlineLevel="1" thickBot="1">
      <c r="A42" s="54">
        <f t="shared" si="6"/>
        <v>34</v>
      </c>
      <c r="C42" s="59">
        <f>IF(ROUND(ROUND(('Loonschijven_Tranches salariale'!$Q41*0.65),4)*$Y$1,2)&lt;C$8,C$8,ROUND(ROUND(('Loonschijven_Tranches salariale'!$Q41*0.65),4)*$Y$1,2))</f>
        <v>53.22</v>
      </c>
      <c r="D42" s="59">
        <f>IF(ROUND(ROUND(('Loonschijven_Tranches salariale'!$Q41*0.6),4)*$Y$1,2)&lt;D$8,D$8,ROUND(ROUND(('Loonschijven_Tranches salariale'!$Q41*0.6),4)*$Y$1,2))</f>
        <v>49.13</v>
      </c>
      <c r="E42" s="59">
        <f>IF(ROUND(ROUND(('Loonschijven_Tranches salariale'!$Q41*0.6),4)*$Y$1,2)&lt;E$8,E$8,IF('Loonschijven_Tranches salariale'!$Q41&lt;Basisbedragen!$C$24,ROUND(ROUND(('Loonschijven_Tranches salariale'!$Q41*0.6),4)*$Y$1,2),ROUND(ROUND((Basisbedragen!$C$24*0.6),4)*$Y$1,2)))</f>
        <v>49.13</v>
      </c>
      <c r="G42" s="59">
        <f>IF(ROUND(ROUND(('Loonschijven_Tranches salariale'!$Q41*0.6),4)*$Y$1,2)&lt;G$8,G$8,IF('Loonschijven_Tranches salariale'!$Q41&lt;Basisbedragen!$C$23,ROUND(ROUND(('Loonschijven_Tranches salariale'!$Q41*0.6),4)*$Y$1,2),ROUND(ROUND((Basisbedragen!$C$23*0.6),4)*$Y$1,2)))</f>
        <v>49.13</v>
      </c>
      <c r="H42" s="59">
        <f>IF(ROUND(ROUND(('Loonschijven_Tranches salariale'!$Q41*0.4),4)*$Y$1,2)&lt;H$8,H$8,IF('Loonschijven_Tranches salariale'!$Q41&lt;Basisbedragen!$C$23,ROUND(ROUND(('Loonschijven_Tranches salariale'!$Q41*0.4),4)*$Y$1,2),ROUND(ROUND((Basisbedragen!$C$23*0.4),4)*$Y$1,2)))</f>
        <v>40.72</v>
      </c>
      <c r="I42" s="59">
        <f t="shared" ref="I42:L87" si="9">IF(ROUND($H42-(I$6*($H42-$N$9)/5),2)&lt;I$8,I$8,ROUND($H42-(I$6*($H42-$N$9)/5),2))</f>
        <v>38.31</v>
      </c>
      <c r="J42" s="59">
        <f t="shared" si="9"/>
        <v>35.909999999999997</v>
      </c>
      <c r="K42" s="59">
        <f t="shared" si="9"/>
        <v>33.5</v>
      </c>
      <c r="L42" s="59">
        <f t="shared" si="9"/>
        <v>31.1</v>
      </c>
      <c r="N42" s="234">
        <f t="shared" si="7"/>
        <v>26.06</v>
      </c>
      <c r="O42" s="59">
        <f t="shared" ref="O42:O73" si="10">$O$9</f>
        <v>28.69</v>
      </c>
      <c r="Q42" s="59">
        <f>IF(ROUND(ROUND(('Loonschijven_Tranches salariale'!$Q41*0.55),4)*$Y$1,2)&lt;Q$8,Q$8,IF('Loonschijven_Tranches salariale'!$Q41&lt;Basisbedragen!$C$23,ROUND(ROUND(('Loonschijven_Tranches salariale'!$Q41*0.55),4)*$Y$1,2),ROUND(ROUND((Basisbedragen!$C$23*0.55),4)*$Y$1,2)))</f>
        <v>54.55</v>
      </c>
      <c r="R42" s="59">
        <f t="shared" si="8"/>
        <v>49.84</v>
      </c>
      <c r="S42" s="59">
        <f t="shared" si="8"/>
        <v>45.13</v>
      </c>
      <c r="T42" s="59">
        <f t="shared" si="8"/>
        <v>40.42</v>
      </c>
      <c r="U42" s="59">
        <f t="shared" si="8"/>
        <v>35.71</v>
      </c>
      <c r="W42" s="234">
        <f>N42+ROUND(Basisbedragen!$C$57*$Y$1,2)</f>
        <v>31</v>
      </c>
      <c r="X42" s="59">
        <f>$O42+ROUND(Basisbedragen!$C$57*$Y$1,2)</f>
        <v>33.630000000000003</v>
      </c>
      <c r="AO42" s="83"/>
      <c r="AU42"/>
    </row>
    <row r="43" spans="1:47" ht="15" hidden="1" outlineLevel="1" thickBot="1">
      <c r="A43" s="54">
        <f t="shared" si="6"/>
        <v>35</v>
      </c>
      <c r="C43" s="59">
        <f>IF(ROUND(ROUND(('Loonschijven_Tranches salariale'!$Q42*0.65),4)*$Y$1,2)&lt;C$8,C$8,ROUND(ROUND(('Loonschijven_Tranches salariale'!$Q42*0.65),4)*$Y$1,2))</f>
        <v>53.22</v>
      </c>
      <c r="D43" s="59">
        <f>IF(ROUND(ROUND(('Loonschijven_Tranches salariale'!$Q42*0.6),4)*$Y$1,2)&lt;D$8,D$8,ROUND(ROUND(('Loonschijven_Tranches salariale'!$Q42*0.6),4)*$Y$1,2))</f>
        <v>49.13</v>
      </c>
      <c r="E43" s="59">
        <f>IF(ROUND(ROUND(('Loonschijven_Tranches salariale'!$Q42*0.6),4)*$Y$1,2)&lt;E$8,E$8,IF('Loonschijven_Tranches salariale'!$Q42&lt;Basisbedragen!$C$24,ROUND(ROUND(('Loonschijven_Tranches salariale'!$Q42*0.6),4)*$Y$1,2),ROUND(ROUND((Basisbedragen!$C$24*0.6),4)*$Y$1,2)))</f>
        <v>49.13</v>
      </c>
      <c r="G43" s="59">
        <f>IF(ROUND(ROUND(('Loonschijven_Tranches salariale'!$Q42*0.6),4)*$Y$1,2)&lt;G$8,G$8,IF('Loonschijven_Tranches salariale'!$Q42&lt;Basisbedragen!$C$23,ROUND(ROUND(('Loonschijven_Tranches salariale'!$Q42*0.6),4)*$Y$1,2),ROUND(ROUND((Basisbedragen!$C$23*0.6),4)*$Y$1,2)))</f>
        <v>49.13</v>
      </c>
      <c r="H43" s="59">
        <f>IF(ROUND(ROUND(('Loonschijven_Tranches salariale'!$Q42*0.4),4)*$Y$1,2)&lt;H$8,H$8,IF('Loonschijven_Tranches salariale'!$Q42&lt;Basisbedragen!$C$23,ROUND(ROUND(('Loonschijven_Tranches salariale'!$Q42*0.4),4)*$Y$1,2),ROUND(ROUND((Basisbedragen!$C$23*0.4),4)*$Y$1,2)))</f>
        <v>40.72</v>
      </c>
      <c r="I43" s="59">
        <f t="shared" si="9"/>
        <v>38.31</v>
      </c>
      <c r="J43" s="59">
        <f t="shared" si="9"/>
        <v>35.909999999999997</v>
      </c>
      <c r="K43" s="59">
        <f t="shared" si="9"/>
        <v>33.5</v>
      </c>
      <c r="L43" s="59">
        <f t="shared" si="9"/>
        <v>31.1</v>
      </c>
      <c r="N43" s="234">
        <f t="shared" si="7"/>
        <v>26.06</v>
      </c>
      <c r="O43" s="59">
        <f t="shared" si="10"/>
        <v>28.69</v>
      </c>
      <c r="Q43" s="59">
        <f>IF(ROUND(ROUND(('Loonschijven_Tranches salariale'!$Q42*0.55),4)*$Y$1,2)&lt;Q$8,Q$8,IF('Loonschijven_Tranches salariale'!$Q42&lt;Basisbedragen!$C$23,ROUND(ROUND(('Loonschijven_Tranches salariale'!$Q42*0.55),4)*$Y$1,2),ROUND(ROUND((Basisbedragen!$C$23*0.55),4)*$Y$1,2)))</f>
        <v>54.55</v>
      </c>
      <c r="R43" s="59">
        <f t="shared" si="8"/>
        <v>49.84</v>
      </c>
      <c r="S43" s="59">
        <f t="shared" si="8"/>
        <v>45.13</v>
      </c>
      <c r="T43" s="59">
        <f t="shared" si="8"/>
        <v>40.42</v>
      </c>
      <c r="U43" s="59">
        <f t="shared" si="8"/>
        <v>35.71</v>
      </c>
      <c r="W43" s="234">
        <f>N43+ROUND(Basisbedragen!$C$57*$Y$1,2)</f>
        <v>31</v>
      </c>
      <c r="X43" s="59">
        <f>$O43+ROUND(Basisbedragen!$C$57*$Y$1,2)</f>
        <v>33.630000000000003</v>
      </c>
      <c r="AO43" s="83"/>
      <c r="AU43"/>
    </row>
    <row r="44" spans="1:47" ht="15" hidden="1" outlineLevel="1" thickBot="1">
      <c r="A44" s="54">
        <f t="shared" si="6"/>
        <v>36</v>
      </c>
      <c r="C44" s="59">
        <f>IF(ROUND(ROUND(('Loonschijven_Tranches salariale'!$Q43*0.65),4)*$Y$1,2)&lt;C$8,C$8,ROUND(ROUND(('Loonschijven_Tranches salariale'!$Q43*0.65),4)*$Y$1,2))</f>
        <v>53.22</v>
      </c>
      <c r="D44" s="59">
        <f>IF(ROUND(ROUND(('Loonschijven_Tranches salariale'!$Q43*0.6),4)*$Y$1,2)&lt;D$8,D$8,ROUND(ROUND(('Loonschijven_Tranches salariale'!$Q43*0.6),4)*$Y$1,2))</f>
        <v>49.13</v>
      </c>
      <c r="E44" s="59">
        <f>IF(ROUND(ROUND(('Loonschijven_Tranches salariale'!$Q43*0.6),4)*$Y$1,2)&lt;E$8,E$8,IF('Loonschijven_Tranches salariale'!$Q43&lt;Basisbedragen!$C$24,ROUND(ROUND(('Loonschijven_Tranches salariale'!$Q43*0.6),4)*$Y$1,2),ROUND(ROUND((Basisbedragen!$C$24*0.6),4)*$Y$1,2)))</f>
        <v>49.13</v>
      </c>
      <c r="G44" s="59">
        <f>IF(ROUND(ROUND(('Loonschijven_Tranches salariale'!$Q43*0.6),4)*$Y$1,2)&lt;G$8,G$8,IF('Loonschijven_Tranches salariale'!$Q43&lt;Basisbedragen!$C$23,ROUND(ROUND(('Loonschijven_Tranches salariale'!$Q43*0.6),4)*$Y$1,2),ROUND(ROUND((Basisbedragen!$C$23*0.6),4)*$Y$1,2)))</f>
        <v>49.13</v>
      </c>
      <c r="H44" s="59">
        <f>IF(ROUND(ROUND(('Loonschijven_Tranches salariale'!$Q43*0.4),4)*$Y$1,2)&lt;H$8,H$8,IF('Loonschijven_Tranches salariale'!$Q43&lt;Basisbedragen!$C$23,ROUND(ROUND(('Loonschijven_Tranches salariale'!$Q43*0.4),4)*$Y$1,2),ROUND(ROUND((Basisbedragen!$C$23*0.4),4)*$Y$1,2)))</f>
        <v>40.72</v>
      </c>
      <c r="I44" s="59">
        <f t="shared" si="9"/>
        <v>38.31</v>
      </c>
      <c r="J44" s="59">
        <f t="shared" si="9"/>
        <v>35.909999999999997</v>
      </c>
      <c r="K44" s="59">
        <f t="shared" si="9"/>
        <v>33.5</v>
      </c>
      <c r="L44" s="59">
        <f t="shared" si="9"/>
        <v>31.1</v>
      </c>
      <c r="N44" s="234">
        <f t="shared" si="7"/>
        <v>26.06</v>
      </c>
      <c r="O44" s="59">
        <f t="shared" si="10"/>
        <v>28.69</v>
      </c>
      <c r="Q44" s="59">
        <f>IF(ROUND(ROUND(('Loonschijven_Tranches salariale'!$Q43*0.55),4)*$Y$1,2)&lt;Q$8,Q$8,IF('Loonschijven_Tranches salariale'!$Q43&lt;Basisbedragen!$C$23,ROUND(ROUND(('Loonschijven_Tranches salariale'!$Q43*0.55),4)*$Y$1,2),ROUND(ROUND((Basisbedragen!$C$23*0.55),4)*$Y$1,2)))</f>
        <v>54.55</v>
      </c>
      <c r="R44" s="59">
        <f t="shared" si="8"/>
        <v>49.84</v>
      </c>
      <c r="S44" s="59">
        <f t="shared" si="8"/>
        <v>45.13</v>
      </c>
      <c r="T44" s="59">
        <f t="shared" si="8"/>
        <v>40.42</v>
      </c>
      <c r="U44" s="59">
        <f t="shared" si="8"/>
        <v>35.71</v>
      </c>
      <c r="W44" s="234">
        <f>N44+ROUND(Basisbedragen!$C$57*$Y$1,2)</f>
        <v>31</v>
      </c>
      <c r="X44" s="59">
        <f>$O44+ROUND(Basisbedragen!$C$57*$Y$1,2)</f>
        <v>33.630000000000003</v>
      </c>
      <c r="AO44" s="83"/>
      <c r="AU44"/>
    </row>
    <row r="45" spans="1:47" ht="15" hidden="1" outlineLevel="1" thickBot="1">
      <c r="A45" s="54">
        <f t="shared" si="6"/>
        <v>37</v>
      </c>
      <c r="C45" s="59">
        <f>IF(ROUND(ROUND(('Loonschijven_Tranches salariale'!$Q44*0.65),4)*$Y$1,2)&lt;C$8,C$8,ROUND(ROUND(('Loonschijven_Tranches salariale'!$Q44*0.65),4)*$Y$1,2))</f>
        <v>53.22</v>
      </c>
      <c r="D45" s="59">
        <f>IF(ROUND(ROUND(('Loonschijven_Tranches salariale'!$Q44*0.6),4)*$Y$1,2)&lt;D$8,D$8,ROUND(ROUND(('Loonschijven_Tranches salariale'!$Q44*0.6),4)*$Y$1,2))</f>
        <v>49.13</v>
      </c>
      <c r="E45" s="59">
        <f>IF(ROUND(ROUND(('Loonschijven_Tranches salariale'!$Q44*0.6),4)*$Y$1,2)&lt;E$8,E$8,IF('Loonschijven_Tranches salariale'!$Q44&lt;Basisbedragen!$C$24,ROUND(ROUND(('Loonschijven_Tranches salariale'!$Q44*0.6),4)*$Y$1,2),ROUND(ROUND((Basisbedragen!$C$24*0.6),4)*$Y$1,2)))</f>
        <v>49.13</v>
      </c>
      <c r="G45" s="59">
        <f>IF(ROUND(ROUND(('Loonschijven_Tranches salariale'!$Q44*0.6),4)*$Y$1,2)&lt;G$8,G$8,IF('Loonschijven_Tranches salariale'!$Q44&lt;Basisbedragen!$C$23,ROUND(ROUND(('Loonschijven_Tranches salariale'!$Q44*0.6),4)*$Y$1,2),ROUND(ROUND((Basisbedragen!$C$23*0.6),4)*$Y$1,2)))</f>
        <v>49.13</v>
      </c>
      <c r="H45" s="59">
        <f>IF(ROUND(ROUND(('Loonschijven_Tranches salariale'!$Q44*0.4),4)*$Y$1,2)&lt;H$8,H$8,IF('Loonschijven_Tranches salariale'!$Q44&lt;Basisbedragen!$C$23,ROUND(ROUND(('Loonschijven_Tranches salariale'!$Q44*0.4),4)*$Y$1,2),ROUND(ROUND((Basisbedragen!$C$23*0.4),4)*$Y$1,2)))</f>
        <v>40.72</v>
      </c>
      <c r="I45" s="59">
        <f t="shared" si="9"/>
        <v>38.31</v>
      </c>
      <c r="J45" s="59">
        <f t="shared" si="9"/>
        <v>35.909999999999997</v>
      </c>
      <c r="K45" s="59">
        <f t="shared" si="9"/>
        <v>33.5</v>
      </c>
      <c r="L45" s="59">
        <f t="shared" si="9"/>
        <v>31.1</v>
      </c>
      <c r="N45" s="234">
        <f t="shared" si="7"/>
        <v>26.06</v>
      </c>
      <c r="O45" s="59">
        <f t="shared" si="10"/>
        <v>28.69</v>
      </c>
      <c r="Q45" s="59">
        <f>IF(ROUND(ROUND(('Loonschijven_Tranches salariale'!$Q44*0.55),4)*$Y$1,2)&lt;Q$8,Q$8,IF('Loonschijven_Tranches salariale'!$Q44&lt;Basisbedragen!$C$23,ROUND(ROUND(('Loonschijven_Tranches salariale'!$Q44*0.55),4)*$Y$1,2),ROUND(ROUND((Basisbedragen!$C$23*0.55),4)*$Y$1,2)))</f>
        <v>54.55</v>
      </c>
      <c r="R45" s="59">
        <f t="shared" si="8"/>
        <v>49.84</v>
      </c>
      <c r="S45" s="59">
        <f t="shared" si="8"/>
        <v>45.13</v>
      </c>
      <c r="T45" s="59">
        <f t="shared" si="8"/>
        <v>40.42</v>
      </c>
      <c r="U45" s="59">
        <f t="shared" si="8"/>
        <v>35.71</v>
      </c>
      <c r="W45" s="234">
        <f>N45+ROUND(Basisbedragen!$C$57*$Y$1,2)</f>
        <v>31</v>
      </c>
      <c r="X45" s="59">
        <f>$O45+ROUND(Basisbedragen!$C$57*$Y$1,2)</f>
        <v>33.630000000000003</v>
      </c>
      <c r="AO45" s="83"/>
      <c r="AU45"/>
    </row>
    <row r="46" spans="1:47" ht="15" hidden="1" outlineLevel="1" thickBot="1">
      <c r="A46" s="54">
        <f t="shared" si="6"/>
        <v>38</v>
      </c>
      <c r="C46" s="59">
        <f>IF(ROUND(ROUND(('Loonschijven_Tranches salariale'!$Q45*0.65),4)*$Y$1,2)&lt;C$8,C$8,ROUND(ROUND(('Loonschijven_Tranches salariale'!$Q45*0.65),4)*$Y$1,2))</f>
        <v>53.22</v>
      </c>
      <c r="D46" s="59">
        <f>IF(ROUND(ROUND(('Loonschijven_Tranches salariale'!$Q45*0.6),4)*$Y$1,2)&lt;D$8,D$8,ROUND(ROUND(('Loonschijven_Tranches salariale'!$Q45*0.6),4)*$Y$1,2))</f>
        <v>49.13</v>
      </c>
      <c r="E46" s="59">
        <f>IF(ROUND(ROUND(('Loonschijven_Tranches salariale'!$Q45*0.6),4)*$Y$1,2)&lt;E$8,E$8,IF('Loonschijven_Tranches salariale'!$Q45&lt;Basisbedragen!$C$24,ROUND(ROUND(('Loonschijven_Tranches salariale'!$Q45*0.6),4)*$Y$1,2),ROUND(ROUND((Basisbedragen!$C$24*0.6),4)*$Y$1,2)))</f>
        <v>49.13</v>
      </c>
      <c r="G46" s="59">
        <f>IF(ROUND(ROUND(('Loonschijven_Tranches salariale'!$Q45*0.6),4)*$Y$1,2)&lt;G$8,G$8,IF('Loonschijven_Tranches salariale'!$Q45&lt;Basisbedragen!$C$23,ROUND(ROUND(('Loonschijven_Tranches salariale'!$Q45*0.6),4)*$Y$1,2),ROUND(ROUND((Basisbedragen!$C$23*0.6),4)*$Y$1,2)))</f>
        <v>49.13</v>
      </c>
      <c r="H46" s="59">
        <f>IF(ROUND(ROUND(('Loonschijven_Tranches salariale'!$Q45*0.4),4)*$Y$1,2)&lt;H$8,H$8,IF('Loonschijven_Tranches salariale'!$Q45&lt;Basisbedragen!$C$23,ROUND(ROUND(('Loonschijven_Tranches salariale'!$Q45*0.4),4)*$Y$1,2),ROUND(ROUND((Basisbedragen!$C$23*0.4),4)*$Y$1,2)))</f>
        <v>40.72</v>
      </c>
      <c r="I46" s="59">
        <f t="shared" si="9"/>
        <v>38.31</v>
      </c>
      <c r="J46" s="59">
        <f t="shared" si="9"/>
        <v>35.909999999999997</v>
      </c>
      <c r="K46" s="59">
        <f t="shared" si="9"/>
        <v>33.5</v>
      </c>
      <c r="L46" s="59">
        <f t="shared" si="9"/>
        <v>31.1</v>
      </c>
      <c r="N46" s="234">
        <f t="shared" si="7"/>
        <v>26.06</v>
      </c>
      <c r="O46" s="59">
        <f t="shared" si="10"/>
        <v>28.69</v>
      </c>
      <c r="Q46" s="59">
        <f>IF(ROUND(ROUND(('Loonschijven_Tranches salariale'!$Q45*0.55),4)*$Y$1,2)&lt;Q$8,Q$8,IF('Loonschijven_Tranches salariale'!$Q45&lt;Basisbedragen!$C$23,ROUND(ROUND(('Loonschijven_Tranches salariale'!$Q45*0.55),4)*$Y$1,2),ROUND(ROUND((Basisbedragen!$C$23*0.55),4)*$Y$1,2)))</f>
        <v>54.55</v>
      </c>
      <c r="R46" s="59">
        <f t="shared" si="8"/>
        <v>49.84</v>
      </c>
      <c r="S46" s="59">
        <f t="shared" si="8"/>
        <v>45.13</v>
      </c>
      <c r="T46" s="59">
        <f t="shared" si="8"/>
        <v>40.42</v>
      </c>
      <c r="U46" s="59">
        <f t="shared" si="8"/>
        <v>35.71</v>
      </c>
      <c r="W46" s="234">
        <f>N46+ROUND(Basisbedragen!$C$57*$Y$1,2)</f>
        <v>31</v>
      </c>
      <c r="X46" s="59">
        <f>$O46+ROUND(Basisbedragen!$C$57*$Y$1,2)</f>
        <v>33.630000000000003</v>
      </c>
      <c r="AO46" s="83"/>
      <c r="AU46"/>
    </row>
    <row r="47" spans="1:47" ht="15" hidden="1" outlineLevel="1" thickBot="1">
      <c r="A47" s="54">
        <f t="shared" si="6"/>
        <v>39</v>
      </c>
      <c r="C47" s="59">
        <f>IF(ROUND(ROUND(('Loonschijven_Tranches salariale'!$Q46*0.65),4)*$Y$1,2)&lt;C$8,C$8,ROUND(ROUND(('Loonschijven_Tranches salariale'!$Q46*0.65),4)*$Y$1,2))</f>
        <v>53.22</v>
      </c>
      <c r="D47" s="59">
        <f>IF(ROUND(ROUND(('Loonschijven_Tranches salariale'!$Q46*0.6),4)*$Y$1,2)&lt;D$8,D$8,ROUND(ROUND(('Loonschijven_Tranches salariale'!$Q46*0.6),4)*$Y$1,2))</f>
        <v>49.13</v>
      </c>
      <c r="E47" s="59">
        <f>IF(ROUND(ROUND(('Loonschijven_Tranches salariale'!$Q46*0.6),4)*$Y$1,2)&lt;E$8,E$8,IF('Loonschijven_Tranches salariale'!$Q46&lt;Basisbedragen!$C$24,ROUND(ROUND(('Loonschijven_Tranches salariale'!$Q46*0.6),4)*$Y$1,2),ROUND(ROUND((Basisbedragen!$C$24*0.6),4)*$Y$1,2)))</f>
        <v>49.13</v>
      </c>
      <c r="G47" s="59">
        <f>IF(ROUND(ROUND(('Loonschijven_Tranches salariale'!$Q46*0.6),4)*$Y$1,2)&lt;G$8,G$8,IF('Loonschijven_Tranches salariale'!$Q46&lt;Basisbedragen!$C$23,ROUND(ROUND(('Loonschijven_Tranches salariale'!$Q46*0.6),4)*$Y$1,2),ROUND(ROUND((Basisbedragen!$C$23*0.6),4)*$Y$1,2)))</f>
        <v>49.13</v>
      </c>
      <c r="H47" s="59">
        <f>IF(ROUND(ROUND(('Loonschijven_Tranches salariale'!$Q46*0.4),4)*$Y$1,2)&lt;H$8,H$8,IF('Loonschijven_Tranches salariale'!$Q46&lt;Basisbedragen!$C$23,ROUND(ROUND(('Loonschijven_Tranches salariale'!$Q46*0.4),4)*$Y$1,2),ROUND(ROUND((Basisbedragen!$C$23*0.4),4)*$Y$1,2)))</f>
        <v>40.72</v>
      </c>
      <c r="I47" s="59">
        <f t="shared" si="9"/>
        <v>38.31</v>
      </c>
      <c r="J47" s="59">
        <f t="shared" si="9"/>
        <v>35.909999999999997</v>
      </c>
      <c r="K47" s="59">
        <f t="shared" si="9"/>
        <v>33.5</v>
      </c>
      <c r="L47" s="59">
        <f t="shared" si="9"/>
        <v>31.1</v>
      </c>
      <c r="N47" s="234">
        <f t="shared" si="7"/>
        <v>26.06</v>
      </c>
      <c r="O47" s="59">
        <f t="shared" si="10"/>
        <v>28.69</v>
      </c>
      <c r="Q47" s="59">
        <f>IF(ROUND(ROUND(('Loonschijven_Tranches salariale'!$Q46*0.55),4)*$Y$1,2)&lt;Q$8,Q$8,IF('Loonschijven_Tranches salariale'!$Q46&lt;Basisbedragen!$C$23,ROUND(ROUND(('Loonschijven_Tranches salariale'!$Q46*0.55),4)*$Y$1,2),ROUND(ROUND((Basisbedragen!$C$23*0.55),4)*$Y$1,2)))</f>
        <v>54.55</v>
      </c>
      <c r="R47" s="59">
        <f t="shared" si="8"/>
        <v>49.84</v>
      </c>
      <c r="S47" s="59">
        <f t="shared" si="8"/>
        <v>45.13</v>
      </c>
      <c r="T47" s="59">
        <f t="shared" si="8"/>
        <v>40.42</v>
      </c>
      <c r="U47" s="59">
        <f t="shared" si="8"/>
        <v>35.71</v>
      </c>
      <c r="W47" s="234">
        <f>N47+ROUND(Basisbedragen!$C$57*$Y$1,2)</f>
        <v>31</v>
      </c>
      <c r="X47" s="59">
        <f>$O47+ROUND(Basisbedragen!$C$57*$Y$1,2)</f>
        <v>33.630000000000003</v>
      </c>
      <c r="AO47" s="83"/>
      <c r="AU47"/>
    </row>
    <row r="48" spans="1:47" ht="15" collapsed="1" thickBot="1">
      <c r="A48" s="54">
        <f t="shared" si="6"/>
        <v>40</v>
      </c>
      <c r="C48" s="59">
        <f>IF(ROUND(ROUND(('Loonschijven_Tranches salariale'!$Q47*0.65),4)*$Y$1,2)&lt;C$8,C$8,ROUND(ROUND(('Loonschijven_Tranches salariale'!$Q47*0.65),4)*$Y$1,2))</f>
        <v>53.22</v>
      </c>
      <c r="D48" s="59">
        <f>IF(ROUND(ROUND(('Loonschijven_Tranches salariale'!$Q47*0.6),4)*$Y$1,2)&lt;D$8,D$8,ROUND(ROUND(('Loonschijven_Tranches salariale'!$Q47*0.6),4)*$Y$1,2))</f>
        <v>49.13</v>
      </c>
      <c r="E48" s="59">
        <f>IF(ROUND(ROUND(('Loonschijven_Tranches salariale'!$Q47*0.6),4)*$Y$1,2)&lt;E$8,E$8,IF('Loonschijven_Tranches salariale'!$Q47&lt;Basisbedragen!$C$24,ROUND(ROUND(('Loonschijven_Tranches salariale'!$Q47*0.6),4)*$Y$1,2),ROUND(ROUND((Basisbedragen!$C$24*0.6),4)*$Y$1,2)))</f>
        <v>49.13</v>
      </c>
      <c r="G48" s="59">
        <f>IF(ROUND(ROUND(('Loonschijven_Tranches salariale'!$Q47*0.6),4)*$Y$1,2)&lt;G$8,G$8,IF('Loonschijven_Tranches salariale'!$Q47&lt;Basisbedragen!$C$23,ROUND(ROUND(('Loonschijven_Tranches salariale'!$Q47*0.6),4)*$Y$1,2),ROUND(ROUND((Basisbedragen!$C$23*0.6),4)*$Y$1,2)))</f>
        <v>49.13</v>
      </c>
      <c r="H48" s="59">
        <f>IF(ROUND(ROUND(('Loonschijven_Tranches salariale'!$Q47*0.4),4)*$Y$1,2)&lt;H$8,H$8,IF('Loonschijven_Tranches salariale'!$Q47&lt;Basisbedragen!$C$23,ROUND(ROUND(('Loonschijven_Tranches salariale'!$Q47*0.4),4)*$Y$1,2),ROUND(ROUND((Basisbedragen!$C$23*0.4),4)*$Y$1,2)))</f>
        <v>40.72</v>
      </c>
      <c r="I48" s="59">
        <f t="shared" si="9"/>
        <v>38.31</v>
      </c>
      <c r="J48" s="59">
        <f t="shared" si="9"/>
        <v>35.909999999999997</v>
      </c>
      <c r="K48" s="59">
        <f t="shared" si="9"/>
        <v>33.5</v>
      </c>
      <c r="L48" s="59">
        <f t="shared" si="9"/>
        <v>31.1</v>
      </c>
      <c r="N48" s="234">
        <f t="shared" si="7"/>
        <v>26.06</v>
      </c>
      <c r="O48" s="59">
        <f t="shared" si="10"/>
        <v>28.69</v>
      </c>
      <c r="Q48" s="59">
        <f>IF(ROUND(ROUND(('Loonschijven_Tranches salariale'!$Q47*0.55),4)*$Y$1,2)&lt;Q$8,Q$8,IF('Loonschijven_Tranches salariale'!$Q47&lt;Basisbedragen!$C$23,ROUND(ROUND(('Loonschijven_Tranches salariale'!$Q47*0.55),4)*$Y$1,2),ROUND(ROUND((Basisbedragen!$C$23*0.55),4)*$Y$1,2)))</f>
        <v>54.55</v>
      </c>
      <c r="R48" s="59">
        <f t="shared" si="8"/>
        <v>49.84</v>
      </c>
      <c r="S48" s="59">
        <f t="shared" si="8"/>
        <v>45.13</v>
      </c>
      <c r="T48" s="59">
        <f t="shared" si="8"/>
        <v>40.42</v>
      </c>
      <c r="U48" s="59">
        <f t="shared" si="8"/>
        <v>35.71</v>
      </c>
      <c r="W48" s="234">
        <f>N48+ROUND(Basisbedragen!$C$57*$Y$1,2)</f>
        <v>31</v>
      </c>
      <c r="X48" s="59">
        <f>$O48+ROUND(Basisbedragen!$C$57*$Y$1,2)</f>
        <v>33.630000000000003</v>
      </c>
      <c r="AO48" s="83"/>
      <c r="AU48"/>
    </row>
    <row r="49" spans="1:47" ht="15" thickBot="1">
      <c r="A49" s="54">
        <f t="shared" si="6"/>
        <v>41</v>
      </c>
      <c r="C49" s="59">
        <f>IF(ROUND(ROUND(('Loonschijven_Tranches salariale'!$Q48*0.65),4)*$Y$1,2)&lt;C$8,C$8,ROUND(ROUND(('Loonschijven_Tranches salariale'!$Q48*0.65),4)*$Y$1,2))</f>
        <v>53.22</v>
      </c>
      <c r="D49" s="59">
        <f>IF(ROUND(ROUND(('Loonschijven_Tranches salariale'!$Q48*0.6),4)*$Y$1,2)&lt;D$8,D$8,ROUND(ROUND(('Loonschijven_Tranches salariale'!$Q48*0.6),4)*$Y$1,2))</f>
        <v>49.13</v>
      </c>
      <c r="E49" s="59">
        <f>IF(ROUND(ROUND(('Loonschijven_Tranches salariale'!$Q48*0.6),4)*$Y$1,2)&lt;E$8,E$8,IF('Loonschijven_Tranches salariale'!$Q48&lt;Basisbedragen!$C$24,ROUND(ROUND(('Loonschijven_Tranches salariale'!$Q48*0.6),4)*$Y$1,2),ROUND(ROUND((Basisbedragen!$C$24*0.6),4)*$Y$1,2)))</f>
        <v>49.13</v>
      </c>
      <c r="G49" s="59">
        <f>IF(ROUND(ROUND(('Loonschijven_Tranches salariale'!$Q48*0.6),4)*$Y$1,2)&lt;G$8,G$8,IF('Loonschijven_Tranches salariale'!$Q48&lt;Basisbedragen!$C$23,ROUND(ROUND(('Loonschijven_Tranches salariale'!$Q48*0.6),4)*$Y$1,2),ROUND(ROUND((Basisbedragen!$C$23*0.6),4)*$Y$1,2)))</f>
        <v>49.13</v>
      </c>
      <c r="H49" s="59">
        <f>IF(ROUND(ROUND(('Loonschijven_Tranches salariale'!$Q48*0.4),4)*$Y$1,2)&lt;H$8,H$8,IF('Loonschijven_Tranches salariale'!$Q48&lt;Basisbedragen!$C$23,ROUND(ROUND(('Loonschijven_Tranches salariale'!$Q48*0.4),4)*$Y$1,2),ROUND(ROUND((Basisbedragen!$C$23*0.4),4)*$Y$1,2)))</f>
        <v>40.72</v>
      </c>
      <c r="I49" s="59">
        <f t="shared" si="9"/>
        <v>38.31</v>
      </c>
      <c r="J49" s="59">
        <f t="shared" si="9"/>
        <v>35.909999999999997</v>
      </c>
      <c r="K49" s="59">
        <f t="shared" si="9"/>
        <v>33.5</v>
      </c>
      <c r="L49" s="59">
        <f t="shared" si="9"/>
        <v>31.1</v>
      </c>
      <c r="N49" s="234">
        <f t="shared" si="7"/>
        <v>26.06</v>
      </c>
      <c r="O49" s="59">
        <f t="shared" si="10"/>
        <v>28.69</v>
      </c>
      <c r="Q49" s="59">
        <f>IF(ROUND(ROUND(('Loonschijven_Tranches salariale'!$Q48*0.55),4)*$Y$1,2)&lt;Q$8,Q$8,IF('Loonschijven_Tranches salariale'!$Q48&lt;Basisbedragen!$C$23,ROUND(ROUND(('Loonschijven_Tranches salariale'!$Q48*0.55),4)*$Y$1,2),ROUND(ROUND((Basisbedragen!$C$23*0.55),4)*$Y$1,2)))</f>
        <v>54.55</v>
      </c>
      <c r="R49" s="59">
        <f t="shared" ref="R49:U68" si="11">IF(ROUND($Q49-(R$6*($Q49-$W49)/5),2)&lt;$X49,$X49,ROUND($Q49-(R$6*($Q49-$W49)/5),2))</f>
        <v>49.84</v>
      </c>
      <c r="S49" s="59">
        <f t="shared" si="11"/>
        <v>45.13</v>
      </c>
      <c r="T49" s="59">
        <f t="shared" si="11"/>
        <v>40.42</v>
      </c>
      <c r="U49" s="59">
        <f t="shared" si="11"/>
        <v>35.71</v>
      </c>
      <c r="W49" s="234">
        <f>N49+ROUND(Basisbedragen!$C$57*$Y$1,2)</f>
        <v>31</v>
      </c>
      <c r="X49" s="59">
        <f>$O49+ROUND(Basisbedragen!$C$57*$Y$1,2)</f>
        <v>33.630000000000003</v>
      </c>
      <c r="AO49" s="83"/>
      <c r="AU49"/>
    </row>
    <row r="50" spans="1:47" ht="15" thickBot="1">
      <c r="A50" s="54">
        <f t="shared" si="6"/>
        <v>42</v>
      </c>
      <c r="C50" s="59">
        <f>IF(ROUND(ROUND(('Loonschijven_Tranches salariale'!$Q49*0.65),4)*$Y$1,2)&lt;C$8,C$8,ROUND(ROUND(('Loonschijven_Tranches salariale'!$Q49*0.65),4)*$Y$1,2))</f>
        <v>53.22</v>
      </c>
      <c r="D50" s="59">
        <f>IF(ROUND(ROUND(('Loonschijven_Tranches salariale'!$Q49*0.6),4)*$Y$1,2)&lt;D$8,D$8,ROUND(ROUND(('Loonschijven_Tranches salariale'!$Q49*0.6),4)*$Y$1,2))</f>
        <v>49.13</v>
      </c>
      <c r="E50" s="59">
        <f>IF(ROUND(ROUND(('Loonschijven_Tranches salariale'!$Q49*0.6),4)*$Y$1,2)&lt;E$8,E$8,IF('Loonschijven_Tranches salariale'!$Q49&lt;Basisbedragen!$C$24,ROUND(ROUND(('Loonschijven_Tranches salariale'!$Q49*0.6),4)*$Y$1,2),ROUND(ROUND((Basisbedragen!$C$24*0.6),4)*$Y$1,2)))</f>
        <v>49.13</v>
      </c>
      <c r="G50" s="59">
        <f>IF(ROUND(ROUND(('Loonschijven_Tranches salariale'!$Q49*0.6),4)*$Y$1,2)&lt;G$8,G$8,IF('Loonschijven_Tranches salariale'!$Q49&lt;Basisbedragen!$C$23,ROUND(ROUND(('Loonschijven_Tranches salariale'!$Q49*0.6),4)*$Y$1,2),ROUND(ROUND((Basisbedragen!$C$23*0.6),4)*$Y$1,2)))</f>
        <v>49.13</v>
      </c>
      <c r="H50" s="59">
        <f>IF(ROUND(ROUND(('Loonschijven_Tranches salariale'!$Q49*0.4),4)*$Y$1,2)&lt;H$8,H$8,IF('Loonschijven_Tranches salariale'!$Q49&lt;Basisbedragen!$C$23,ROUND(ROUND(('Loonschijven_Tranches salariale'!$Q49*0.4),4)*$Y$1,2),ROUND(ROUND((Basisbedragen!$C$23*0.4),4)*$Y$1,2)))</f>
        <v>40.72</v>
      </c>
      <c r="I50" s="59">
        <f t="shared" si="9"/>
        <v>38.31</v>
      </c>
      <c r="J50" s="59">
        <f t="shared" si="9"/>
        <v>35.909999999999997</v>
      </c>
      <c r="K50" s="59">
        <f t="shared" si="9"/>
        <v>33.5</v>
      </c>
      <c r="L50" s="59">
        <f t="shared" si="9"/>
        <v>31.1</v>
      </c>
      <c r="N50" s="234">
        <f t="shared" si="7"/>
        <v>26.06</v>
      </c>
      <c r="O50" s="59">
        <f t="shared" si="10"/>
        <v>28.69</v>
      </c>
      <c r="Q50" s="59">
        <f>IF(ROUND(ROUND(('Loonschijven_Tranches salariale'!$Q49*0.55),4)*$Y$1,2)&lt;Q$8,Q$8,IF('Loonschijven_Tranches salariale'!$Q49&lt;Basisbedragen!$C$23,ROUND(ROUND(('Loonschijven_Tranches salariale'!$Q49*0.55),4)*$Y$1,2),ROUND(ROUND((Basisbedragen!$C$23*0.55),4)*$Y$1,2)))</f>
        <v>54.55</v>
      </c>
      <c r="R50" s="59">
        <f t="shared" si="11"/>
        <v>49.84</v>
      </c>
      <c r="S50" s="59">
        <f t="shared" si="11"/>
        <v>45.13</v>
      </c>
      <c r="T50" s="59">
        <f t="shared" si="11"/>
        <v>40.42</v>
      </c>
      <c r="U50" s="59">
        <f t="shared" si="11"/>
        <v>35.71</v>
      </c>
      <c r="W50" s="234">
        <f>N50+ROUND(Basisbedragen!$C$57*$Y$1,2)</f>
        <v>31</v>
      </c>
      <c r="X50" s="59">
        <f>$O50+ROUND(Basisbedragen!$C$57*$Y$1,2)</f>
        <v>33.630000000000003</v>
      </c>
      <c r="AO50" s="83"/>
      <c r="AU50"/>
    </row>
    <row r="51" spans="1:47" ht="15" thickBot="1">
      <c r="A51" s="54">
        <f t="shared" si="6"/>
        <v>43</v>
      </c>
      <c r="C51" s="59">
        <f>IF(ROUND(ROUND(('Loonschijven_Tranches salariale'!$Q50*0.65),4)*$Y$1,2)&lt;C$8,C$8,ROUND(ROUND(('Loonschijven_Tranches salariale'!$Q50*0.65),4)*$Y$1,2))</f>
        <v>53.72</v>
      </c>
      <c r="D51" s="59">
        <f>IF(ROUND(ROUND(('Loonschijven_Tranches salariale'!$Q50*0.6),4)*$Y$1,2)&lt;D$8,D$8,ROUND(ROUND(('Loonschijven_Tranches salariale'!$Q50*0.6),4)*$Y$1,2))</f>
        <v>49.59</v>
      </c>
      <c r="E51" s="59">
        <f>IF(ROUND(ROUND(('Loonschijven_Tranches salariale'!$Q50*0.6),4)*$Y$1,2)&lt;E$8,E$8,IF('Loonschijven_Tranches salariale'!$Q50&lt;Basisbedragen!$C$24,ROUND(ROUND(('Loonschijven_Tranches salariale'!$Q50*0.6),4)*$Y$1,2),ROUND(ROUND((Basisbedragen!$C$24*0.6),4)*$Y$1,2)))</f>
        <v>49.59</v>
      </c>
      <c r="G51" s="59">
        <f>IF(ROUND(ROUND(('Loonschijven_Tranches salariale'!$Q50*0.6),4)*$Y$1,2)&lt;G$8,G$8,IF('Loonschijven_Tranches salariale'!$Q50&lt;Basisbedragen!$C$23,ROUND(ROUND(('Loonschijven_Tranches salariale'!$Q50*0.6),4)*$Y$1,2),ROUND(ROUND((Basisbedragen!$C$23*0.6),4)*$Y$1,2)))</f>
        <v>49.59</v>
      </c>
      <c r="H51" s="59">
        <f>IF(ROUND(ROUND(('Loonschijven_Tranches salariale'!$Q50*0.4),4)*$Y$1,2)&lt;H$8,H$8,IF('Loonschijven_Tranches salariale'!$Q50&lt;Basisbedragen!$C$23,ROUND(ROUND(('Loonschijven_Tranches salariale'!$Q50*0.4),4)*$Y$1,2),ROUND(ROUND((Basisbedragen!$C$23*0.4),4)*$Y$1,2)))</f>
        <v>40.72</v>
      </c>
      <c r="I51" s="59">
        <f t="shared" si="9"/>
        <v>38.31</v>
      </c>
      <c r="J51" s="59">
        <f t="shared" si="9"/>
        <v>35.909999999999997</v>
      </c>
      <c r="K51" s="59">
        <f t="shared" si="9"/>
        <v>33.5</v>
      </c>
      <c r="L51" s="59">
        <f t="shared" si="9"/>
        <v>31.1</v>
      </c>
      <c r="N51" s="234">
        <f t="shared" si="7"/>
        <v>26.06</v>
      </c>
      <c r="O51" s="59">
        <f t="shared" si="10"/>
        <v>28.69</v>
      </c>
      <c r="Q51" s="59">
        <f>IF(ROUND(ROUND(('Loonschijven_Tranches salariale'!$Q50*0.55),4)*$Y$1,2)&lt;Q$8,Q$8,IF('Loonschijven_Tranches salariale'!$Q50&lt;Basisbedragen!$C$23,ROUND(ROUND(('Loonschijven_Tranches salariale'!$Q50*0.55),4)*$Y$1,2),ROUND(ROUND((Basisbedragen!$C$23*0.55),4)*$Y$1,2)))</f>
        <v>54.55</v>
      </c>
      <c r="R51" s="59">
        <f t="shared" si="11"/>
        <v>49.84</v>
      </c>
      <c r="S51" s="59">
        <f t="shared" si="11"/>
        <v>45.13</v>
      </c>
      <c r="T51" s="59">
        <f t="shared" si="11"/>
        <v>40.42</v>
      </c>
      <c r="U51" s="59">
        <f t="shared" si="11"/>
        <v>35.71</v>
      </c>
      <c r="W51" s="234">
        <f>N51+ROUND(Basisbedragen!$C$57*$Y$1,2)</f>
        <v>31</v>
      </c>
      <c r="X51" s="59">
        <f>$O51+ROUND(Basisbedragen!$C$57*$Y$1,2)</f>
        <v>33.630000000000003</v>
      </c>
      <c r="AO51" s="83"/>
      <c r="AU51"/>
    </row>
    <row r="52" spans="1:47" ht="15" thickBot="1">
      <c r="A52" s="54">
        <f t="shared" si="6"/>
        <v>44</v>
      </c>
      <c r="C52" s="59">
        <f>IF(ROUND(ROUND(('Loonschijven_Tranches salariale'!$Q51*0.65),4)*$Y$1,2)&lt;C$8,C$8,ROUND(ROUND(('Loonschijven_Tranches salariale'!$Q51*0.65),4)*$Y$1,2))</f>
        <v>54.7</v>
      </c>
      <c r="D52" s="59">
        <f>IF(ROUND(ROUND(('Loonschijven_Tranches salariale'!$Q51*0.6),4)*$Y$1,2)&lt;D$8,D$8,ROUND(ROUND(('Loonschijven_Tranches salariale'!$Q51*0.6),4)*$Y$1,2))</f>
        <v>50.49</v>
      </c>
      <c r="E52" s="59">
        <f>IF(ROUND(ROUND(('Loonschijven_Tranches salariale'!$Q51*0.6),4)*$Y$1,2)&lt;E$8,E$8,IF('Loonschijven_Tranches salariale'!$Q51&lt;Basisbedragen!$C$24,ROUND(ROUND(('Loonschijven_Tranches salariale'!$Q51*0.6),4)*$Y$1,2),ROUND(ROUND((Basisbedragen!$C$24*0.6),4)*$Y$1,2)))</f>
        <v>50.49</v>
      </c>
      <c r="G52" s="59">
        <f>IF(ROUND(ROUND(('Loonschijven_Tranches salariale'!$Q51*0.6),4)*$Y$1,2)&lt;G$8,G$8,IF('Loonschijven_Tranches salariale'!$Q51&lt;Basisbedragen!$C$23,ROUND(ROUND(('Loonschijven_Tranches salariale'!$Q51*0.6),4)*$Y$1,2),ROUND(ROUND((Basisbedragen!$C$23*0.6),4)*$Y$1,2)))</f>
        <v>50.49</v>
      </c>
      <c r="H52" s="59">
        <f>IF(ROUND(ROUND(('Loonschijven_Tranches salariale'!$Q51*0.4),4)*$Y$1,2)&lt;H$8,H$8,IF('Loonschijven_Tranches salariale'!$Q51&lt;Basisbedragen!$C$23,ROUND(ROUND(('Loonschijven_Tranches salariale'!$Q51*0.4),4)*$Y$1,2),ROUND(ROUND((Basisbedragen!$C$23*0.4),4)*$Y$1,2)))</f>
        <v>40.72</v>
      </c>
      <c r="I52" s="59">
        <f t="shared" si="9"/>
        <v>38.31</v>
      </c>
      <c r="J52" s="59">
        <f t="shared" si="9"/>
        <v>35.909999999999997</v>
      </c>
      <c r="K52" s="59">
        <f t="shared" si="9"/>
        <v>33.5</v>
      </c>
      <c r="L52" s="59">
        <f t="shared" si="9"/>
        <v>31.1</v>
      </c>
      <c r="N52" s="234">
        <f t="shared" si="7"/>
        <v>26.06</v>
      </c>
      <c r="O52" s="59">
        <f t="shared" si="10"/>
        <v>28.69</v>
      </c>
      <c r="Q52" s="59">
        <f>IF(ROUND(ROUND(('Loonschijven_Tranches salariale'!$Q51*0.55),4)*$Y$1,2)&lt;Q$8,Q$8,IF('Loonschijven_Tranches salariale'!$Q51&lt;Basisbedragen!$C$23,ROUND(ROUND(('Loonschijven_Tranches salariale'!$Q51*0.55),4)*$Y$1,2),ROUND(ROUND((Basisbedragen!$C$23*0.55),4)*$Y$1,2)))</f>
        <v>54.55</v>
      </c>
      <c r="R52" s="59">
        <f t="shared" si="11"/>
        <v>49.84</v>
      </c>
      <c r="S52" s="59">
        <f t="shared" si="11"/>
        <v>45.13</v>
      </c>
      <c r="T52" s="59">
        <f t="shared" si="11"/>
        <v>40.42</v>
      </c>
      <c r="U52" s="59">
        <f t="shared" si="11"/>
        <v>35.71</v>
      </c>
      <c r="W52" s="234">
        <f>N52+ROUND(Basisbedragen!$C$57*$Y$1,2)</f>
        <v>31</v>
      </c>
      <c r="X52" s="59">
        <f>$O52+ROUND(Basisbedragen!$C$57*$Y$1,2)</f>
        <v>33.630000000000003</v>
      </c>
      <c r="AO52" s="83"/>
      <c r="AU52"/>
    </row>
    <row r="53" spans="1:47" ht="15" thickBot="1">
      <c r="A53" s="54">
        <f t="shared" si="6"/>
        <v>45</v>
      </c>
      <c r="C53" s="59">
        <f>IF(ROUND(ROUND(('Loonschijven_Tranches salariale'!$Q52*0.65),4)*$Y$1,2)&lt;C$8,C$8,ROUND(ROUND(('Loonschijven_Tranches salariale'!$Q52*0.65),4)*$Y$1,2))</f>
        <v>55.68</v>
      </c>
      <c r="D53" s="59">
        <f>IF(ROUND(ROUND(('Loonschijven_Tranches salariale'!$Q52*0.6),4)*$Y$1,2)&lt;D$8,D$8,ROUND(ROUND(('Loonschijven_Tranches salariale'!$Q52*0.6),4)*$Y$1,2))</f>
        <v>51.39</v>
      </c>
      <c r="E53" s="59">
        <f>IF(ROUND(ROUND(('Loonschijven_Tranches salariale'!$Q52*0.6),4)*$Y$1,2)&lt;E$8,E$8,IF('Loonschijven_Tranches salariale'!$Q52&lt;Basisbedragen!$C$24,ROUND(ROUND(('Loonschijven_Tranches salariale'!$Q52*0.6),4)*$Y$1,2),ROUND(ROUND((Basisbedragen!$C$24*0.6),4)*$Y$1,2)))</f>
        <v>51.39</v>
      </c>
      <c r="G53" s="59">
        <f>IF(ROUND(ROUND(('Loonschijven_Tranches salariale'!$Q52*0.6),4)*$Y$1,2)&lt;G$8,G$8,IF('Loonschijven_Tranches salariale'!$Q52&lt;Basisbedragen!$C$23,ROUND(ROUND(('Loonschijven_Tranches salariale'!$Q52*0.6),4)*$Y$1,2),ROUND(ROUND((Basisbedragen!$C$23*0.6),4)*$Y$1,2)))</f>
        <v>51.39</v>
      </c>
      <c r="H53" s="59">
        <f>IF(ROUND(ROUND(('Loonschijven_Tranches salariale'!$Q52*0.4),4)*$Y$1,2)&lt;H$8,H$8,IF('Loonschijven_Tranches salariale'!$Q52&lt;Basisbedragen!$C$23,ROUND(ROUND(('Loonschijven_Tranches salariale'!$Q52*0.4),4)*$Y$1,2),ROUND(ROUND((Basisbedragen!$C$23*0.4),4)*$Y$1,2)))</f>
        <v>40.72</v>
      </c>
      <c r="I53" s="59">
        <f t="shared" si="9"/>
        <v>38.31</v>
      </c>
      <c r="J53" s="59">
        <f t="shared" si="9"/>
        <v>35.909999999999997</v>
      </c>
      <c r="K53" s="59">
        <f t="shared" si="9"/>
        <v>33.5</v>
      </c>
      <c r="L53" s="59">
        <f t="shared" si="9"/>
        <v>31.1</v>
      </c>
      <c r="N53" s="234">
        <f t="shared" si="7"/>
        <v>26.06</v>
      </c>
      <c r="O53" s="59">
        <f t="shared" si="10"/>
        <v>28.69</v>
      </c>
      <c r="Q53" s="59">
        <f>IF(ROUND(ROUND(('Loonschijven_Tranches salariale'!$Q52*0.55),4)*$Y$1,2)&lt;Q$8,Q$8,IF('Loonschijven_Tranches salariale'!$Q52&lt;Basisbedragen!$C$23,ROUND(ROUND(('Loonschijven_Tranches salariale'!$Q52*0.55),4)*$Y$1,2),ROUND(ROUND((Basisbedragen!$C$23*0.55),4)*$Y$1,2)))</f>
        <v>54.55</v>
      </c>
      <c r="R53" s="59">
        <f t="shared" si="11"/>
        <v>49.84</v>
      </c>
      <c r="S53" s="59">
        <f t="shared" si="11"/>
        <v>45.13</v>
      </c>
      <c r="T53" s="59">
        <f t="shared" si="11"/>
        <v>40.42</v>
      </c>
      <c r="U53" s="59">
        <f t="shared" si="11"/>
        <v>35.71</v>
      </c>
      <c r="W53" s="234">
        <f>N53+ROUND(Basisbedragen!$C$57*$Y$1,2)</f>
        <v>31</v>
      </c>
      <c r="X53" s="59">
        <f>$O53+ROUND(Basisbedragen!$C$57*$Y$1,2)</f>
        <v>33.630000000000003</v>
      </c>
      <c r="AO53" s="83"/>
      <c r="AU53"/>
    </row>
    <row r="54" spans="1:47" ht="15" thickBot="1">
      <c r="A54" s="54">
        <f t="shared" si="6"/>
        <v>46</v>
      </c>
      <c r="C54" s="59">
        <f>IF(ROUND(ROUND(('Loonschijven_Tranches salariale'!$Q53*0.65),4)*$Y$1,2)&lt;C$8,C$8,ROUND(ROUND(('Loonschijven_Tranches salariale'!$Q53*0.65),4)*$Y$1,2))</f>
        <v>56.65</v>
      </c>
      <c r="D54" s="59">
        <f>IF(ROUND(ROUND(('Loonschijven_Tranches salariale'!$Q53*0.6),4)*$Y$1,2)&lt;D$8,D$8,ROUND(ROUND(('Loonschijven_Tranches salariale'!$Q53*0.6),4)*$Y$1,2))</f>
        <v>52.3</v>
      </c>
      <c r="E54" s="59">
        <f>IF(ROUND(ROUND(('Loonschijven_Tranches salariale'!$Q53*0.6),4)*$Y$1,2)&lt;E$8,E$8,IF('Loonschijven_Tranches salariale'!$Q53&lt;Basisbedragen!$C$24,ROUND(ROUND(('Loonschijven_Tranches salariale'!$Q53*0.6),4)*$Y$1,2),ROUND(ROUND((Basisbedragen!$C$24*0.6),4)*$Y$1,2)))</f>
        <v>52.3</v>
      </c>
      <c r="G54" s="59">
        <f>IF(ROUND(ROUND(('Loonschijven_Tranches salariale'!$Q53*0.6),4)*$Y$1,2)&lt;G$8,G$8,IF('Loonschijven_Tranches salariale'!$Q53&lt;Basisbedragen!$C$23,ROUND(ROUND(('Loonschijven_Tranches salariale'!$Q53*0.6),4)*$Y$1,2),ROUND(ROUND((Basisbedragen!$C$23*0.6),4)*$Y$1,2)))</f>
        <v>52.3</v>
      </c>
      <c r="H54" s="59">
        <f>IF(ROUND(ROUND(('Loonschijven_Tranches salariale'!$Q53*0.4),4)*$Y$1,2)&lt;H$8,H$8,IF('Loonschijven_Tranches salariale'!$Q53&lt;Basisbedragen!$C$23,ROUND(ROUND(('Loonschijven_Tranches salariale'!$Q53*0.4),4)*$Y$1,2),ROUND(ROUND((Basisbedragen!$C$23*0.4),4)*$Y$1,2)))</f>
        <v>40.72</v>
      </c>
      <c r="I54" s="59">
        <f t="shared" si="9"/>
        <v>38.31</v>
      </c>
      <c r="J54" s="59">
        <f t="shared" si="9"/>
        <v>35.909999999999997</v>
      </c>
      <c r="K54" s="59">
        <f t="shared" si="9"/>
        <v>33.5</v>
      </c>
      <c r="L54" s="59">
        <f t="shared" si="9"/>
        <v>31.1</v>
      </c>
      <c r="N54" s="234">
        <f t="shared" si="7"/>
        <v>26.06</v>
      </c>
      <c r="O54" s="59">
        <f t="shared" si="10"/>
        <v>28.69</v>
      </c>
      <c r="Q54" s="59">
        <f>IF(ROUND(ROUND(('Loonschijven_Tranches salariale'!$Q53*0.55),4)*$Y$1,2)&lt;Q$8,Q$8,IF('Loonschijven_Tranches salariale'!$Q53&lt;Basisbedragen!$C$23,ROUND(ROUND(('Loonschijven_Tranches salariale'!$Q53*0.55),4)*$Y$1,2),ROUND(ROUND((Basisbedragen!$C$23*0.55),4)*$Y$1,2)))</f>
        <v>54.55</v>
      </c>
      <c r="R54" s="59">
        <f t="shared" si="11"/>
        <v>49.84</v>
      </c>
      <c r="S54" s="59">
        <f t="shared" si="11"/>
        <v>45.13</v>
      </c>
      <c r="T54" s="59">
        <f t="shared" si="11"/>
        <v>40.42</v>
      </c>
      <c r="U54" s="59">
        <f t="shared" si="11"/>
        <v>35.71</v>
      </c>
      <c r="W54" s="234">
        <f>N54+ROUND(Basisbedragen!$C$57*$Y$1,2)</f>
        <v>31</v>
      </c>
      <c r="X54" s="59">
        <f>$O54+ROUND(Basisbedragen!$C$57*$Y$1,2)</f>
        <v>33.630000000000003</v>
      </c>
      <c r="AO54" s="83"/>
      <c r="AU54"/>
    </row>
    <row r="55" spans="1:47" ht="15" thickBot="1">
      <c r="A55" s="54">
        <f t="shared" si="6"/>
        <v>47</v>
      </c>
      <c r="C55" s="59">
        <f>IF(ROUND(ROUND(('Loonschijven_Tranches salariale'!$Q54*0.65),4)*$Y$1,2)&lt;C$8,C$8,ROUND(ROUND(('Loonschijven_Tranches salariale'!$Q54*0.65),4)*$Y$1,2))</f>
        <v>57.63</v>
      </c>
      <c r="D55" s="59">
        <f>IF(ROUND(ROUND(('Loonschijven_Tranches salariale'!$Q54*0.6),4)*$Y$1,2)&lt;D$8,D$8,ROUND(ROUND(('Loonschijven_Tranches salariale'!$Q54*0.6),4)*$Y$1,2))</f>
        <v>53.2</v>
      </c>
      <c r="E55" s="59">
        <f>IF(ROUND(ROUND(('Loonschijven_Tranches salariale'!$Q54*0.6),4)*$Y$1,2)&lt;E$8,E$8,IF('Loonschijven_Tranches salariale'!$Q54&lt;Basisbedragen!$C$24,ROUND(ROUND(('Loonschijven_Tranches salariale'!$Q54*0.6),4)*$Y$1,2),ROUND(ROUND((Basisbedragen!$C$24*0.6),4)*$Y$1,2)))</f>
        <v>53.2</v>
      </c>
      <c r="G55" s="59">
        <f>IF(ROUND(ROUND(('Loonschijven_Tranches salariale'!$Q54*0.6),4)*$Y$1,2)&lt;G$8,G$8,IF('Loonschijven_Tranches salariale'!$Q54&lt;Basisbedragen!$C$23,ROUND(ROUND(('Loonschijven_Tranches salariale'!$Q54*0.6),4)*$Y$1,2),ROUND(ROUND((Basisbedragen!$C$23*0.6),4)*$Y$1,2)))</f>
        <v>53.2</v>
      </c>
      <c r="H55" s="59">
        <f>IF(ROUND(ROUND(('Loonschijven_Tranches salariale'!$Q54*0.4),4)*$Y$1,2)&lt;H$8,H$8,IF('Loonschijven_Tranches salariale'!$Q54&lt;Basisbedragen!$C$23,ROUND(ROUND(('Loonschijven_Tranches salariale'!$Q54*0.4),4)*$Y$1,2),ROUND(ROUND((Basisbedragen!$C$23*0.4),4)*$Y$1,2)))</f>
        <v>40.72</v>
      </c>
      <c r="I55" s="59">
        <f t="shared" si="9"/>
        <v>38.31</v>
      </c>
      <c r="J55" s="59">
        <f t="shared" si="9"/>
        <v>35.909999999999997</v>
      </c>
      <c r="K55" s="59">
        <f t="shared" si="9"/>
        <v>33.5</v>
      </c>
      <c r="L55" s="59">
        <f t="shared" si="9"/>
        <v>31.1</v>
      </c>
      <c r="N55" s="234">
        <f t="shared" si="7"/>
        <v>26.06</v>
      </c>
      <c r="O55" s="59">
        <f t="shared" si="10"/>
        <v>28.69</v>
      </c>
      <c r="Q55" s="59">
        <f>IF(ROUND(ROUND(('Loonschijven_Tranches salariale'!$Q54*0.55),4)*$Y$1,2)&lt;Q$8,Q$8,IF('Loonschijven_Tranches salariale'!$Q54&lt;Basisbedragen!$C$23,ROUND(ROUND(('Loonschijven_Tranches salariale'!$Q54*0.55),4)*$Y$1,2),ROUND(ROUND((Basisbedragen!$C$23*0.55),4)*$Y$1,2)))</f>
        <v>54.55</v>
      </c>
      <c r="R55" s="59">
        <f t="shared" si="11"/>
        <v>49.84</v>
      </c>
      <c r="S55" s="59">
        <f t="shared" si="11"/>
        <v>45.13</v>
      </c>
      <c r="T55" s="59">
        <f t="shared" si="11"/>
        <v>40.42</v>
      </c>
      <c r="U55" s="59">
        <f t="shared" si="11"/>
        <v>35.71</v>
      </c>
      <c r="W55" s="234">
        <f>N55+ROUND(Basisbedragen!$C$57*$Y$1,2)</f>
        <v>31</v>
      </c>
      <c r="X55" s="59">
        <f>$O55+ROUND(Basisbedragen!$C$57*$Y$1,2)</f>
        <v>33.630000000000003</v>
      </c>
      <c r="AO55" s="83"/>
      <c r="AU55"/>
    </row>
    <row r="56" spans="1:47" ht="15" thickBot="1">
      <c r="A56" s="54">
        <f t="shared" si="6"/>
        <v>48</v>
      </c>
      <c r="C56" s="59">
        <f>IF(ROUND(ROUND(('Loonschijven_Tranches salariale'!$Q55*0.65),4)*$Y$1,2)&lt;C$8,C$8,ROUND(ROUND(('Loonschijven_Tranches salariale'!$Q55*0.65),4)*$Y$1,2))</f>
        <v>58.61</v>
      </c>
      <c r="D56" s="59">
        <f>IF(ROUND(ROUND(('Loonschijven_Tranches salariale'!$Q55*0.6),4)*$Y$1,2)&lt;D$8,D$8,ROUND(ROUND(('Loonschijven_Tranches salariale'!$Q55*0.6),4)*$Y$1,2))</f>
        <v>54.1</v>
      </c>
      <c r="E56" s="59">
        <f>IF(ROUND(ROUND(('Loonschijven_Tranches salariale'!$Q55*0.6),4)*$Y$1,2)&lt;E$8,E$8,IF('Loonschijven_Tranches salariale'!$Q55&lt;Basisbedragen!$C$24,ROUND(ROUND(('Loonschijven_Tranches salariale'!$Q55*0.6),4)*$Y$1,2),ROUND(ROUND((Basisbedragen!$C$24*0.6),4)*$Y$1,2)))</f>
        <v>54.1</v>
      </c>
      <c r="G56" s="59">
        <f>IF(ROUND(ROUND(('Loonschijven_Tranches salariale'!$Q55*0.6),4)*$Y$1,2)&lt;G$8,G$8,IF('Loonschijven_Tranches salariale'!$Q55&lt;Basisbedragen!$C$23,ROUND(ROUND(('Loonschijven_Tranches salariale'!$Q55*0.6),4)*$Y$1,2),ROUND(ROUND((Basisbedragen!$C$23*0.6),4)*$Y$1,2)))</f>
        <v>54.1</v>
      </c>
      <c r="H56" s="59">
        <f>IF(ROUND(ROUND(('Loonschijven_Tranches salariale'!$Q55*0.4),4)*$Y$1,2)&lt;H$8,H$8,IF('Loonschijven_Tranches salariale'!$Q55&lt;Basisbedragen!$C$23,ROUND(ROUND(('Loonschijven_Tranches salariale'!$Q55*0.4),4)*$Y$1,2),ROUND(ROUND((Basisbedragen!$C$23*0.4),4)*$Y$1,2)))</f>
        <v>40.72</v>
      </c>
      <c r="I56" s="59">
        <f t="shared" si="9"/>
        <v>38.31</v>
      </c>
      <c r="J56" s="59">
        <f t="shared" si="9"/>
        <v>35.909999999999997</v>
      </c>
      <c r="K56" s="59">
        <f t="shared" si="9"/>
        <v>33.5</v>
      </c>
      <c r="L56" s="59">
        <f t="shared" si="9"/>
        <v>31.1</v>
      </c>
      <c r="N56" s="234">
        <f t="shared" si="7"/>
        <v>26.06</v>
      </c>
      <c r="O56" s="59">
        <f t="shared" si="10"/>
        <v>28.69</v>
      </c>
      <c r="Q56" s="59">
        <f>IF(ROUND(ROUND(('Loonschijven_Tranches salariale'!$Q55*0.55),4)*$Y$1,2)&lt;Q$8,Q$8,IF('Loonschijven_Tranches salariale'!$Q55&lt;Basisbedragen!$C$23,ROUND(ROUND(('Loonschijven_Tranches salariale'!$Q55*0.55),4)*$Y$1,2),ROUND(ROUND((Basisbedragen!$C$23*0.55),4)*$Y$1,2)))</f>
        <v>54.55</v>
      </c>
      <c r="R56" s="59">
        <f t="shared" si="11"/>
        <v>49.84</v>
      </c>
      <c r="S56" s="59">
        <f t="shared" si="11"/>
        <v>45.13</v>
      </c>
      <c r="T56" s="59">
        <f t="shared" si="11"/>
        <v>40.42</v>
      </c>
      <c r="U56" s="59">
        <f t="shared" si="11"/>
        <v>35.71</v>
      </c>
      <c r="W56" s="234">
        <f>N56+ROUND(Basisbedragen!$C$57*$Y$1,2)</f>
        <v>31</v>
      </c>
      <c r="X56" s="59">
        <f>$O56+ROUND(Basisbedragen!$C$57*$Y$1,2)</f>
        <v>33.630000000000003</v>
      </c>
      <c r="AO56" s="83"/>
      <c r="AU56"/>
    </row>
    <row r="57" spans="1:47" ht="15" thickBot="1">
      <c r="A57" s="54">
        <f t="shared" si="6"/>
        <v>49</v>
      </c>
      <c r="C57" s="59">
        <f>IF(ROUND(ROUND(('Loonschijven_Tranches salariale'!$Q56*0.65),4)*$Y$1,2)&lt;C$8,C$8,ROUND(ROUND(('Loonschijven_Tranches salariale'!$Q56*0.65),4)*$Y$1,2))</f>
        <v>59.58</v>
      </c>
      <c r="D57" s="59">
        <f>IF(ROUND(ROUND(('Loonschijven_Tranches salariale'!$Q56*0.6),4)*$Y$1,2)&lt;D$8,D$8,ROUND(ROUND(('Loonschijven_Tranches salariale'!$Q56*0.6),4)*$Y$1,2))</f>
        <v>55</v>
      </c>
      <c r="E57" s="59">
        <f>IF(ROUND(ROUND(('Loonschijven_Tranches salariale'!$Q56*0.6),4)*$Y$1,2)&lt;E$8,E$8,IF('Loonschijven_Tranches salariale'!$Q56&lt;Basisbedragen!$C$24,ROUND(ROUND(('Loonschijven_Tranches salariale'!$Q56*0.6),4)*$Y$1,2),ROUND(ROUND((Basisbedragen!$C$24*0.6),4)*$Y$1,2)))</f>
        <v>55</v>
      </c>
      <c r="G57" s="59">
        <f>IF(ROUND(ROUND(('Loonschijven_Tranches salariale'!$Q56*0.6),4)*$Y$1,2)&lt;G$8,G$8,IF('Loonschijven_Tranches salariale'!$Q56&lt;Basisbedragen!$C$23,ROUND(ROUND(('Loonschijven_Tranches salariale'!$Q56*0.6),4)*$Y$1,2),ROUND(ROUND((Basisbedragen!$C$23*0.6),4)*$Y$1,2)))</f>
        <v>55</v>
      </c>
      <c r="H57" s="59">
        <f>IF(ROUND(ROUND(('Loonschijven_Tranches salariale'!$Q56*0.4),4)*$Y$1,2)&lt;H$8,H$8,IF('Loonschijven_Tranches salariale'!$Q56&lt;Basisbedragen!$C$23,ROUND(ROUND(('Loonschijven_Tranches salariale'!$Q56*0.4),4)*$Y$1,2),ROUND(ROUND((Basisbedragen!$C$23*0.4),4)*$Y$1,2)))</f>
        <v>40.72</v>
      </c>
      <c r="I57" s="59">
        <f t="shared" si="9"/>
        <v>38.31</v>
      </c>
      <c r="J57" s="59">
        <f t="shared" si="9"/>
        <v>35.909999999999997</v>
      </c>
      <c r="K57" s="59">
        <f t="shared" si="9"/>
        <v>33.5</v>
      </c>
      <c r="L57" s="59">
        <f t="shared" si="9"/>
        <v>31.1</v>
      </c>
      <c r="N57" s="234">
        <f t="shared" si="7"/>
        <v>26.06</v>
      </c>
      <c r="O57" s="59">
        <f t="shared" si="10"/>
        <v>28.69</v>
      </c>
      <c r="Q57" s="59">
        <f>IF(ROUND(ROUND(('Loonschijven_Tranches salariale'!$Q56*0.55),4)*$Y$1,2)&lt;Q$8,Q$8,IF('Loonschijven_Tranches salariale'!$Q56&lt;Basisbedragen!$C$23,ROUND(ROUND(('Loonschijven_Tranches salariale'!$Q56*0.55),4)*$Y$1,2),ROUND(ROUND((Basisbedragen!$C$23*0.55),4)*$Y$1,2)))</f>
        <v>54.55</v>
      </c>
      <c r="R57" s="59">
        <f t="shared" si="11"/>
        <v>49.84</v>
      </c>
      <c r="S57" s="59">
        <f t="shared" si="11"/>
        <v>45.13</v>
      </c>
      <c r="T57" s="59">
        <f t="shared" si="11"/>
        <v>40.42</v>
      </c>
      <c r="U57" s="59">
        <f t="shared" si="11"/>
        <v>35.71</v>
      </c>
      <c r="W57" s="234">
        <f>N57+ROUND(Basisbedragen!$C$57*$Y$1,2)</f>
        <v>31</v>
      </c>
      <c r="X57" s="59">
        <f>$O57+ROUND(Basisbedragen!$C$57*$Y$1,2)</f>
        <v>33.630000000000003</v>
      </c>
      <c r="AO57" s="83"/>
      <c r="AU57"/>
    </row>
    <row r="58" spans="1:47" ht="15" thickBot="1">
      <c r="A58" s="54">
        <f t="shared" si="6"/>
        <v>50</v>
      </c>
      <c r="C58" s="59">
        <f>IF(ROUND(ROUND(('Loonschijven_Tranches salariale'!$Q57*0.65),4)*$Y$1,2)&lt;C$8,C$8,ROUND(ROUND(('Loonschijven_Tranches salariale'!$Q57*0.65),4)*$Y$1,2))</f>
        <v>60.56</v>
      </c>
      <c r="D58" s="59">
        <f>IF(ROUND(ROUND(('Loonschijven_Tranches salariale'!$Q57*0.6),4)*$Y$1,2)&lt;D$8,D$8,ROUND(ROUND(('Loonschijven_Tranches salariale'!$Q57*0.6),4)*$Y$1,2))</f>
        <v>55.9</v>
      </c>
      <c r="E58" s="59">
        <f>IF(ROUND(ROUND(('Loonschijven_Tranches salariale'!$Q57*0.6),4)*$Y$1,2)&lt;E$8,E$8,IF('Loonschijven_Tranches salariale'!$Q57&lt;Basisbedragen!$C$24,ROUND(ROUND(('Loonschijven_Tranches salariale'!$Q57*0.6),4)*$Y$1,2),ROUND(ROUND((Basisbedragen!$C$24*0.6),4)*$Y$1,2)))</f>
        <v>55.9</v>
      </c>
      <c r="G58" s="59">
        <f>IF(ROUND(ROUND(('Loonschijven_Tranches salariale'!$Q57*0.6),4)*$Y$1,2)&lt;G$8,G$8,IF('Loonschijven_Tranches salariale'!$Q57&lt;Basisbedragen!$C$23,ROUND(ROUND(('Loonschijven_Tranches salariale'!$Q57*0.6),4)*$Y$1,2),ROUND(ROUND((Basisbedragen!$C$23*0.6),4)*$Y$1,2)))</f>
        <v>55.9</v>
      </c>
      <c r="H58" s="59">
        <f>IF(ROUND(ROUND(('Loonschijven_Tranches salariale'!$Q57*0.4),4)*$Y$1,2)&lt;H$8,H$8,IF('Loonschijven_Tranches salariale'!$Q57&lt;Basisbedragen!$C$23,ROUND(ROUND(('Loonschijven_Tranches salariale'!$Q57*0.4),4)*$Y$1,2),ROUND(ROUND((Basisbedragen!$C$23*0.4),4)*$Y$1,2)))</f>
        <v>40.72</v>
      </c>
      <c r="I58" s="59">
        <f t="shared" si="9"/>
        <v>38.31</v>
      </c>
      <c r="J58" s="59">
        <f t="shared" si="9"/>
        <v>35.909999999999997</v>
      </c>
      <c r="K58" s="59">
        <f t="shared" si="9"/>
        <v>33.5</v>
      </c>
      <c r="L58" s="59">
        <f t="shared" si="9"/>
        <v>31.1</v>
      </c>
      <c r="N58" s="234">
        <f t="shared" si="7"/>
        <v>26.06</v>
      </c>
      <c r="O58" s="59">
        <f t="shared" si="10"/>
        <v>28.69</v>
      </c>
      <c r="Q58" s="59">
        <f>IF(ROUND(ROUND(('Loonschijven_Tranches salariale'!$Q57*0.55),4)*$Y$1,2)&lt;Q$8,Q$8,IF('Loonschijven_Tranches salariale'!$Q57&lt;Basisbedragen!$C$23,ROUND(ROUND(('Loonschijven_Tranches salariale'!$Q57*0.55),4)*$Y$1,2),ROUND(ROUND((Basisbedragen!$C$23*0.55),4)*$Y$1,2)))</f>
        <v>54.55</v>
      </c>
      <c r="R58" s="59">
        <f t="shared" si="11"/>
        <v>49.84</v>
      </c>
      <c r="S58" s="59">
        <f t="shared" si="11"/>
        <v>45.13</v>
      </c>
      <c r="T58" s="59">
        <f t="shared" si="11"/>
        <v>40.42</v>
      </c>
      <c r="U58" s="59">
        <f t="shared" si="11"/>
        <v>35.71</v>
      </c>
      <c r="W58" s="234">
        <f>N58+ROUND(Basisbedragen!$C$57*$Y$1,2)</f>
        <v>31</v>
      </c>
      <c r="X58" s="59">
        <f>$O58+ROUND(Basisbedragen!$C$57*$Y$1,2)</f>
        <v>33.630000000000003</v>
      </c>
      <c r="AO58" s="83"/>
      <c r="AU58"/>
    </row>
    <row r="59" spans="1:47" ht="15" thickBot="1">
      <c r="A59" s="54">
        <f t="shared" si="6"/>
        <v>51</v>
      </c>
      <c r="C59" s="59">
        <f>IF(ROUND(ROUND(('Loonschijven_Tranches salariale'!$Q58*0.65),4)*$Y$1,2)&lt;C$8,C$8,ROUND(ROUND(('Loonschijven_Tranches salariale'!$Q58*0.65),4)*$Y$1,2))</f>
        <v>61.54</v>
      </c>
      <c r="D59" s="59">
        <f>IF(ROUND(ROUND(('Loonschijven_Tranches salariale'!$Q58*0.6),4)*$Y$1,2)&lt;D$8,D$8,ROUND(ROUND(('Loonschijven_Tranches salariale'!$Q58*0.6),4)*$Y$1,2))</f>
        <v>56.8</v>
      </c>
      <c r="E59" s="59">
        <f>IF(ROUND(ROUND(('Loonschijven_Tranches salariale'!$Q58*0.6),4)*$Y$1,2)&lt;E$8,E$8,IF('Loonschijven_Tranches salariale'!$Q58&lt;Basisbedragen!$C$24,ROUND(ROUND(('Loonschijven_Tranches salariale'!$Q58*0.6),4)*$Y$1,2),ROUND(ROUND((Basisbedragen!$C$24*0.6),4)*$Y$1,2)))</f>
        <v>56.8</v>
      </c>
      <c r="G59" s="59">
        <f>IF(ROUND(ROUND(('Loonschijven_Tranches salariale'!$Q58*0.6),4)*$Y$1,2)&lt;G$8,G$8,IF('Loonschijven_Tranches salariale'!$Q58&lt;Basisbedragen!$C$23,ROUND(ROUND(('Loonschijven_Tranches salariale'!$Q58*0.6),4)*$Y$1,2),ROUND(ROUND((Basisbedragen!$C$23*0.6),4)*$Y$1,2)))</f>
        <v>56.8</v>
      </c>
      <c r="H59" s="59">
        <f>IF(ROUND(ROUND(('Loonschijven_Tranches salariale'!$Q58*0.4),4)*$Y$1,2)&lt;H$8,H$8,IF('Loonschijven_Tranches salariale'!$Q58&lt;Basisbedragen!$C$23,ROUND(ROUND(('Loonschijven_Tranches salariale'!$Q58*0.4),4)*$Y$1,2),ROUND(ROUND((Basisbedragen!$C$23*0.4),4)*$Y$1,2)))</f>
        <v>40.72</v>
      </c>
      <c r="I59" s="59">
        <f t="shared" si="9"/>
        <v>38.31</v>
      </c>
      <c r="J59" s="59">
        <f t="shared" si="9"/>
        <v>35.909999999999997</v>
      </c>
      <c r="K59" s="59">
        <f t="shared" si="9"/>
        <v>33.5</v>
      </c>
      <c r="L59" s="59">
        <f t="shared" si="9"/>
        <v>31.1</v>
      </c>
      <c r="N59" s="234">
        <f t="shared" si="7"/>
        <v>26.06</v>
      </c>
      <c r="O59" s="59">
        <f t="shared" si="10"/>
        <v>28.69</v>
      </c>
      <c r="Q59" s="59">
        <f>IF(ROUND(ROUND(('Loonschijven_Tranches salariale'!$Q58*0.55),4)*$Y$1,2)&lt;Q$8,Q$8,IF('Loonschijven_Tranches salariale'!$Q58&lt;Basisbedragen!$C$23,ROUND(ROUND(('Loonschijven_Tranches salariale'!$Q58*0.55),4)*$Y$1,2),ROUND(ROUND((Basisbedragen!$C$23*0.55),4)*$Y$1,2)))</f>
        <v>54.55</v>
      </c>
      <c r="R59" s="59">
        <f t="shared" si="11"/>
        <v>49.84</v>
      </c>
      <c r="S59" s="59">
        <f t="shared" si="11"/>
        <v>45.13</v>
      </c>
      <c r="T59" s="59">
        <f t="shared" si="11"/>
        <v>40.42</v>
      </c>
      <c r="U59" s="59">
        <f t="shared" si="11"/>
        <v>35.71</v>
      </c>
      <c r="W59" s="234">
        <f>N59+ROUND(Basisbedragen!$C$57*$Y$1,2)</f>
        <v>31</v>
      </c>
      <c r="X59" s="59">
        <f>$O59+ROUND(Basisbedragen!$C$57*$Y$1,2)</f>
        <v>33.630000000000003</v>
      </c>
      <c r="AO59" s="83"/>
      <c r="AU59"/>
    </row>
    <row r="60" spans="1:47" ht="15" thickBot="1">
      <c r="A60" s="54">
        <f t="shared" si="6"/>
        <v>52</v>
      </c>
      <c r="C60" s="59">
        <f>IF(ROUND(ROUND(('Loonschijven_Tranches salariale'!$Q59*0.65),4)*$Y$1,2)&lt;C$8,C$8,ROUND(ROUND(('Loonschijven_Tranches salariale'!$Q59*0.65),4)*$Y$1,2))</f>
        <v>62.51</v>
      </c>
      <c r="D60" s="59">
        <f>IF(ROUND(ROUND(('Loonschijven_Tranches salariale'!$Q59*0.6),4)*$Y$1,2)&lt;D$8,D$8,ROUND(ROUND(('Loonschijven_Tranches salariale'!$Q59*0.6),4)*$Y$1,2))</f>
        <v>57.7</v>
      </c>
      <c r="E60" s="59">
        <f>IF(ROUND(ROUND(('Loonschijven_Tranches salariale'!$Q59*0.6),4)*$Y$1,2)&lt;E$8,E$8,IF('Loonschijven_Tranches salariale'!$Q59&lt;Basisbedragen!$C$24,ROUND(ROUND(('Loonschijven_Tranches salariale'!$Q59*0.6),4)*$Y$1,2),ROUND(ROUND((Basisbedragen!$C$24*0.6),4)*$Y$1,2)))</f>
        <v>57.7</v>
      </c>
      <c r="G60" s="59">
        <f>IF(ROUND(ROUND(('Loonschijven_Tranches salariale'!$Q59*0.6),4)*$Y$1,2)&lt;G$8,G$8,IF('Loonschijven_Tranches salariale'!$Q59&lt;Basisbedragen!$C$23,ROUND(ROUND(('Loonschijven_Tranches salariale'!$Q59*0.6),4)*$Y$1,2),ROUND(ROUND((Basisbedragen!$C$23*0.6),4)*$Y$1,2)))</f>
        <v>57.7</v>
      </c>
      <c r="H60" s="59">
        <f>IF(ROUND(ROUND(('Loonschijven_Tranches salariale'!$Q59*0.4),4)*$Y$1,2)&lt;H$8,H$8,IF('Loonschijven_Tranches salariale'!$Q59&lt;Basisbedragen!$C$23,ROUND(ROUND(('Loonschijven_Tranches salariale'!$Q59*0.4),4)*$Y$1,2),ROUND(ROUND((Basisbedragen!$C$23*0.4),4)*$Y$1,2)))</f>
        <v>40.72</v>
      </c>
      <c r="I60" s="59">
        <f t="shared" si="9"/>
        <v>38.31</v>
      </c>
      <c r="J60" s="59">
        <f t="shared" si="9"/>
        <v>35.909999999999997</v>
      </c>
      <c r="K60" s="59">
        <f t="shared" si="9"/>
        <v>33.5</v>
      </c>
      <c r="L60" s="59">
        <f t="shared" si="9"/>
        <v>31.1</v>
      </c>
      <c r="N60" s="234">
        <f t="shared" si="7"/>
        <v>26.06</v>
      </c>
      <c r="O60" s="59">
        <f t="shared" si="10"/>
        <v>28.69</v>
      </c>
      <c r="Q60" s="59">
        <f>IF(ROUND(ROUND(('Loonschijven_Tranches salariale'!$Q59*0.55),4)*$Y$1,2)&lt;Q$8,Q$8,IF('Loonschijven_Tranches salariale'!$Q59&lt;Basisbedragen!$C$23,ROUND(ROUND(('Loonschijven_Tranches salariale'!$Q59*0.55),4)*$Y$1,2),ROUND(ROUND((Basisbedragen!$C$23*0.55),4)*$Y$1,2)))</f>
        <v>54.55</v>
      </c>
      <c r="R60" s="59">
        <f t="shared" si="11"/>
        <v>49.84</v>
      </c>
      <c r="S60" s="59">
        <f t="shared" si="11"/>
        <v>45.13</v>
      </c>
      <c r="T60" s="59">
        <f t="shared" si="11"/>
        <v>40.42</v>
      </c>
      <c r="U60" s="59">
        <f t="shared" si="11"/>
        <v>35.71</v>
      </c>
      <c r="W60" s="234">
        <f>N60+ROUND(Basisbedragen!$C$57*$Y$1,2)</f>
        <v>31</v>
      </c>
      <c r="X60" s="59">
        <f>$O60+ROUND(Basisbedragen!$C$57*$Y$1,2)</f>
        <v>33.630000000000003</v>
      </c>
      <c r="AO60" s="83"/>
      <c r="AU60"/>
    </row>
    <row r="61" spans="1:47" ht="15" thickBot="1">
      <c r="A61" s="54">
        <f t="shared" si="6"/>
        <v>53</v>
      </c>
      <c r="C61" s="59">
        <f>IF(ROUND(ROUND(('Loonschijven_Tranches salariale'!$Q60*0.65),4)*$Y$1,2)&lt;C$8,C$8,ROUND(ROUND(('Loonschijven_Tranches salariale'!$Q60*0.65),4)*$Y$1,2))</f>
        <v>63.49</v>
      </c>
      <c r="D61" s="59">
        <f>IF(ROUND(ROUND(('Loonschijven_Tranches salariale'!$Q60*0.6),4)*$Y$1,2)&lt;D$8,D$8,ROUND(ROUND(('Loonschijven_Tranches salariale'!$Q60*0.6),4)*$Y$1,2))</f>
        <v>58.61</v>
      </c>
      <c r="E61" s="59">
        <f>IF(ROUND(ROUND(('Loonschijven_Tranches salariale'!$Q60*0.6),4)*$Y$1,2)&lt;E$8,E$8,IF('Loonschijven_Tranches salariale'!$Q60&lt;Basisbedragen!$C$24,ROUND(ROUND(('Loonschijven_Tranches salariale'!$Q60*0.6),4)*$Y$1,2),ROUND(ROUND((Basisbedragen!$C$24*0.6),4)*$Y$1,2)))</f>
        <v>58.61</v>
      </c>
      <c r="G61" s="59">
        <f>IF(ROUND(ROUND(('Loonschijven_Tranches salariale'!$Q60*0.6),4)*$Y$1,2)&lt;G$8,G$8,IF('Loonschijven_Tranches salariale'!$Q60&lt;Basisbedragen!$C$23,ROUND(ROUND(('Loonschijven_Tranches salariale'!$Q60*0.6),4)*$Y$1,2),ROUND(ROUND((Basisbedragen!$C$23*0.6),4)*$Y$1,2)))</f>
        <v>58.61</v>
      </c>
      <c r="H61" s="59">
        <f>IF(ROUND(ROUND(('Loonschijven_Tranches salariale'!$Q60*0.4),4)*$Y$1,2)&lt;H$8,H$8,IF('Loonschijven_Tranches salariale'!$Q60&lt;Basisbedragen!$C$23,ROUND(ROUND(('Loonschijven_Tranches salariale'!$Q60*0.4),4)*$Y$1,2),ROUND(ROUND((Basisbedragen!$C$23*0.4),4)*$Y$1,2)))</f>
        <v>40.72</v>
      </c>
      <c r="I61" s="59">
        <f t="shared" si="9"/>
        <v>38.31</v>
      </c>
      <c r="J61" s="59">
        <f t="shared" si="9"/>
        <v>35.909999999999997</v>
      </c>
      <c r="K61" s="59">
        <f t="shared" si="9"/>
        <v>33.5</v>
      </c>
      <c r="L61" s="59">
        <f t="shared" si="9"/>
        <v>31.1</v>
      </c>
      <c r="N61" s="234">
        <f t="shared" si="7"/>
        <v>26.06</v>
      </c>
      <c r="O61" s="59">
        <f t="shared" si="10"/>
        <v>28.69</v>
      </c>
      <c r="Q61" s="59">
        <f>IF(ROUND(ROUND(('Loonschijven_Tranches salariale'!$Q60*0.55),4)*$Y$1,2)&lt;Q$8,Q$8,IF('Loonschijven_Tranches salariale'!$Q60&lt;Basisbedragen!$C$23,ROUND(ROUND(('Loonschijven_Tranches salariale'!$Q60*0.55),4)*$Y$1,2),ROUND(ROUND((Basisbedragen!$C$23*0.55),4)*$Y$1,2)))</f>
        <v>54.55</v>
      </c>
      <c r="R61" s="59">
        <f t="shared" si="11"/>
        <v>49.84</v>
      </c>
      <c r="S61" s="59">
        <f t="shared" si="11"/>
        <v>45.13</v>
      </c>
      <c r="T61" s="59">
        <f t="shared" si="11"/>
        <v>40.42</v>
      </c>
      <c r="U61" s="59">
        <f t="shared" si="11"/>
        <v>35.71</v>
      </c>
      <c r="W61" s="234">
        <f>N61+ROUND(Basisbedragen!$C$57*$Y$1,2)</f>
        <v>31</v>
      </c>
      <c r="X61" s="59">
        <f>$O61+ROUND(Basisbedragen!$C$57*$Y$1,2)</f>
        <v>33.630000000000003</v>
      </c>
      <c r="AO61" s="83"/>
      <c r="AU61"/>
    </row>
    <row r="62" spans="1:47" ht="15" thickBot="1">
      <c r="A62" s="54">
        <f t="shared" si="6"/>
        <v>54</v>
      </c>
      <c r="C62" s="59">
        <f>IF(ROUND(ROUND(('Loonschijven_Tranches salariale'!$Q61*0.65),4)*$Y$1,2)&lt;C$8,C$8,ROUND(ROUND(('Loonschijven_Tranches salariale'!$Q61*0.65),4)*$Y$1,2))</f>
        <v>63.98</v>
      </c>
      <c r="D62" s="59">
        <f>IF(ROUND(ROUND(('Loonschijven_Tranches salariale'!$Q61*0.6),4)*$Y$1,2)&lt;D$8,D$8,ROUND(ROUND(('Loonschijven_Tranches salariale'!$Q61*0.6),4)*$Y$1,2))</f>
        <v>59.06</v>
      </c>
      <c r="E62" s="59">
        <f>IF(ROUND(ROUND(('Loonschijven_Tranches salariale'!$Q61*0.6),4)*$Y$1,2)&lt;E$8,E$8,IF('Loonschijven_Tranches salariale'!$Q61&lt;Basisbedragen!$C$24,ROUND(ROUND(('Loonschijven_Tranches salariale'!$Q61*0.6),4)*$Y$1,2),ROUND(ROUND((Basisbedragen!$C$24*0.6),4)*$Y$1,2)))</f>
        <v>59.06</v>
      </c>
      <c r="G62" s="59">
        <f>IF(ROUND(ROUND(('Loonschijven_Tranches salariale'!$Q61*0.6),4)*$Y$1,2)&lt;G$8,G$8,IF('Loonschijven_Tranches salariale'!$Q61&lt;Basisbedragen!$C$23,ROUND(ROUND(('Loonschijven_Tranches salariale'!$Q61*0.6),4)*$Y$1,2),ROUND(ROUND((Basisbedragen!$C$23*0.6),4)*$Y$1,2)))</f>
        <v>59.06</v>
      </c>
      <c r="H62" s="59">
        <f>IF(ROUND(ROUND(('Loonschijven_Tranches salariale'!$Q61*0.4),4)*$Y$1,2)&lt;H$8,H$8,IF('Loonschijven_Tranches salariale'!$Q61&lt;Basisbedragen!$C$23,ROUND(ROUND(('Loonschijven_Tranches salariale'!$Q61*0.4),4)*$Y$1,2),ROUND(ROUND((Basisbedragen!$C$23*0.4),4)*$Y$1,2)))</f>
        <v>40.72</v>
      </c>
      <c r="I62" s="59">
        <f t="shared" si="9"/>
        <v>38.31</v>
      </c>
      <c r="J62" s="59">
        <f t="shared" si="9"/>
        <v>35.909999999999997</v>
      </c>
      <c r="K62" s="59">
        <f t="shared" si="9"/>
        <v>33.5</v>
      </c>
      <c r="L62" s="59">
        <f t="shared" si="9"/>
        <v>31.1</v>
      </c>
      <c r="N62" s="234">
        <f t="shared" si="7"/>
        <v>26.06</v>
      </c>
      <c r="O62" s="59">
        <f t="shared" si="10"/>
        <v>28.69</v>
      </c>
      <c r="Q62" s="59">
        <f>IF(ROUND(ROUND(('Loonschijven_Tranches salariale'!$Q61*0.55),4)*$Y$1,2)&lt;Q$8,Q$8,IF('Loonschijven_Tranches salariale'!$Q61&lt;Basisbedragen!$C$23,ROUND(ROUND(('Loonschijven_Tranches salariale'!$Q61*0.55),4)*$Y$1,2),ROUND(ROUND((Basisbedragen!$C$23*0.55),4)*$Y$1,2)))</f>
        <v>54.55</v>
      </c>
      <c r="R62" s="59">
        <f t="shared" si="11"/>
        <v>49.84</v>
      </c>
      <c r="S62" s="59">
        <f t="shared" si="11"/>
        <v>45.13</v>
      </c>
      <c r="T62" s="59">
        <f t="shared" si="11"/>
        <v>40.42</v>
      </c>
      <c r="U62" s="59">
        <f t="shared" si="11"/>
        <v>35.71</v>
      </c>
      <c r="W62" s="234">
        <f>N62+ROUND(Basisbedragen!$C$57*$Y$1,2)</f>
        <v>31</v>
      </c>
      <c r="X62" s="59">
        <f>$O62+ROUND(Basisbedragen!$C$57*$Y$1,2)</f>
        <v>33.630000000000003</v>
      </c>
      <c r="AO62" s="83"/>
      <c r="AU62"/>
    </row>
    <row r="63" spans="1:47" ht="15" thickBot="1">
      <c r="A63" s="54">
        <f t="shared" si="6"/>
        <v>55</v>
      </c>
      <c r="C63" s="59">
        <f>IF(ROUND(ROUND(('Loonschijven_Tranches salariale'!$Q62*0.65),4)*$Y$1,2)&lt;C$8,C$8,ROUND(ROUND(('Loonschijven_Tranches salariale'!$Q62*0.65),4)*$Y$1,2))</f>
        <v>64.47</v>
      </c>
      <c r="D63" s="59">
        <f>IF(ROUND(ROUND(('Loonschijven_Tranches salariale'!$Q62*0.6),4)*$Y$1,2)&lt;D$8,D$8,ROUND(ROUND(('Loonschijven_Tranches salariale'!$Q62*0.6),4)*$Y$1,2))</f>
        <v>59.51</v>
      </c>
      <c r="E63" s="59">
        <f>IF(ROUND(ROUND(('Loonschijven_Tranches salariale'!$Q62*0.6),4)*$Y$1,2)&lt;E$8,E$8,IF('Loonschijven_Tranches salariale'!$Q62&lt;Basisbedragen!$C$24,ROUND(ROUND(('Loonschijven_Tranches salariale'!$Q62*0.6),4)*$Y$1,2),ROUND(ROUND((Basisbedragen!$C$24*0.6),4)*$Y$1,2)))</f>
        <v>59.51</v>
      </c>
      <c r="G63" s="59">
        <f>IF(ROUND(ROUND(('Loonschijven_Tranches salariale'!$Q62*0.6),4)*$Y$1,2)&lt;G$8,G$8,IF('Loonschijven_Tranches salariale'!$Q62&lt;Basisbedragen!$C$23,ROUND(ROUND(('Loonschijven_Tranches salariale'!$Q62*0.6),4)*$Y$1,2),ROUND(ROUND((Basisbedragen!$C$23*0.6),4)*$Y$1,2)))</f>
        <v>59.51</v>
      </c>
      <c r="H63" s="59">
        <f>IF(ROUND(ROUND(('Loonschijven_Tranches salariale'!$Q62*0.4),4)*$Y$1,2)&lt;H$8,H$8,IF('Loonschijven_Tranches salariale'!$Q62&lt;Basisbedragen!$C$23,ROUND(ROUND(('Loonschijven_Tranches salariale'!$Q62*0.4),4)*$Y$1,2),ROUND(ROUND((Basisbedragen!$C$23*0.4),4)*$Y$1,2)))</f>
        <v>40.72</v>
      </c>
      <c r="I63" s="59">
        <f t="shared" si="9"/>
        <v>38.31</v>
      </c>
      <c r="J63" s="59">
        <f t="shared" si="9"/>
        <v>35.909999999999997</v>
      </c>
      <c r="K63" s="59">
        <f t="shared" si="9"/>
        <v>33.5</v>
      </c>
      <c r="L63" s="59">
        <f t="shared" si="9"/>
        <v>31.1</v>
      </c>
      <c r="N63" s="234">
        <f t="shared" si="7"/>
        <v>26.06</v>
      </c>
      <c r="O63" s="59">
        <f t="shared" si="10"/>
        <v>28.69</v>
      </c>
      <c r="Q63" s="59">
        <f>IF(ROUND(ROUND(('Loonschijven_Tranches salariale'!$Q62*0.55),4)*$Y$1,2)&lt;Q$8,Q$8,IF('Loonschijven_Tranches salariale'!$Q62&lt;Basisbedragen!$C$23,ROUND(ROUND(('Loonschijven_Tranches salariale'!$Q62*0.55),4)*$Y$1,2),ROUND(ROUND((Basisbedragen!$C$23*0.55),4)*$Y$1,2)))</f>
        <v>54.55</v>
      </c>
      <c r="R63" s="59">
        <f t="shared" si="11"/>
        <v>49.84</v>
      </c>
      <c r="S63" s="59">
        <f t="shared" si="11"/>
        <v>45.13</v>
      </c>
      <c r="T63" s="59">
        <f t="shared" si="11"/>
        <v>40.42</v>
      </c>
      <c r="U63" s="59">
        <f t="shared" si="11"/>
        <v>35.71</v>
      </c>
      <c r="W63" s="234">
        <f>N63+ROUND(Basisbedragen!$C$57*$Y$1,2)</f>
        <v>31</v>
      </c>
      <c r="X63" s="59">
        <f>$O63+ROUND(Basisbedragen!$C$57*$Y$1,2)</f>
        <v>33.630000000000003</v>
      </c>
      <c r="AO63" s="83"/>
      <c r="AU63"/>
    </row>
    <row r="64" spans="1:47" ht="15" thickBot="1">
      <c r="A64" s="54">
        <f t="shared" si="6"/>
        <v>56</v>
      </c>
      <c r="C64" s="59">
        <f>IF(ROUND(ROUND(('Loonschijven_Tranches salariale'!$Q63*0.65),4)*$Y$1,2)&lt;C$8,C$8,ROUND(ROUND(('Loonschijven_Tranches salariale'!$Q63*0.65),4)*$Y$1,2))</f>
        <v>65.44</v>
      </c>
      <c r="D64" s="59">
        <f>IF(ROUND(ROUND(('Loonschijven_Tranches salariale'!$Q63*0.6),4)*$Y$1,2)&lt;D$8,D$8,ROUND(ROUND(('Loonschijven_Tranches salariale'!$Q63*0.6),4)*$Y$1,2))</f>
        <v>60.41</v>
      </c>
      <c r="E64" s="59">
        <f>IF(ROUND(ROUND(('Loonschijven_Tranches salariale'!$Q63*0.6),4)*$Y$1,2)&lt;E$8,E$8,IF('Loonschijven_Tranches salariale'!$Q63&lt;Basisbedragen!$C$24,ROUND(ROUND(('Loonschijven_Tranches salariale'!$Q63*0.6),4)*$Y$1,2),ROUND(ROUND((Basisbedragen!$C$24*0.6),4)*$Y$1,2)))</f>
        <v>60.41</v>
      </c>
      <c r="G64" s="59">
        <f>IF(ROUND(ROUND(('Loonschijven_Tranches salariale'!$Q63*0.6),4)*$Y$1,2)&lt;G$8,G$8,IF('Loonschijven_Tranches salariale'!$Q63&lt;Basisbedragen!$C$23,ROUND(ROUND(('Loonschijven_Tranches salariale'!$Q63*0.6),4)*$Y$1,2),ROUND(ROUND((Basisbedragen!$C$23*0.6),4)*$Y$1,2)))</f>
        <v>60.41</v>
      </c>
      <c r="H64" s="59">
        <f>IF(ROUND(ROUND(('Loonschijven_Tranches salariale'!$Q63*0.4),4)*$Y$1,2)&lt;H$8,H$8,IF('Loonschijven_Tranches salariale'!$Q63&lt;Basisbedragen!$C$23,ROUND(ROUND(('Loonschijven_Tranches salariale'!$Q63*0.4),4)*$Y$1,2),ROUND(ROUND((Basisbedragen!$C$23*0.4),4)*$Y$1,2)))</f>
        <v>40.72</v>
      </c>
      <c r="I64" s="59">
        <f t="shared" si="9"/>
        <v>38.31</v>
      </c>
      <c r="J64" s="59">
        <f t="shared" si="9"/>
        <v>35.909999999999997</v>
      </c>
      <c r="K64" s="59">
        <f t="shared" si="9"/>
        <v>33.5</v>
      </c>
      <c r="L64" s="59">
        <f t="shared" si="9"/>
        <v>31.1</v>
      </c>
      <c r="N64" s="234">
        <f t="shared" si="7"/>
        <v>26.06</v>
      </c>
      <c r="O64" s="59">
        <f t="shared" si="10"/>
        <v>28.69</v>
      </c>
      <c r="Q64" s="59">
        <f>IF(ROUND(ROUND(('Loonschijven_Tranches salariale'!$Q63*0.55),4)*$Y$1,2)&lt;Q$8,Q$8,IF('Loonschijven_Tranches salariale'!$Q63&lt;Basisbedragen!$C$23,ROUND(ROUND(('Loonschijven_Tranches salariale'!$Q63*0.55),4)*$Y$1,2),ROUND(ROUND((Basisbedragen!$C$23*0.55),4)*$Y$1,2)))</f>
        <v>55.38</v>
      </c>
      <c r="R64" s="59">
        <f t="shared" si="11"/>
        <v>50.5</v>
      </c>
      <c r="S64" s="59">
        <f t="shared" si="11"/>
        <v>45.63</v>
      </c>
      <c r="T64" s="59">
        <f t="shared" si="11"/>
        <v>40.75</v>
      </c>
      <c r="U64" s="59">
        <f t="shared" si="11"/>
        <v>35.880000000000003</v>
      </c>
      <c r="W64" s="234">
        <f>N64+ROUND(Basisbedragen!$C$57*$Y$1,2)</f>
        <v>31</v>
      </c>
      <c r="X64" s="59">
        <f>$O64+ROUND(Basisbedragen!$C$57*$Y$1,2)</f>
        <v>33.630000000000003</v>
      </c>
      <c r="AO64" s="83"/>
      <c r="AU64"/>
    </row>
    <row r="65" spans="1:47" ht="15" thickBot="1">
      <c r="A65" s="54">
        <f t="shared" si="6"/>
        <v>57</v>
      </c>
      <c r="C65" s="59">
        <f>IF(ROUND(ROUND(('Loonschijven_Tranches salariale'!$Q64*0.65),4)*$Y$1,2)&lt;C$8,C$8,ROUND(ROUND(('Loonschijven_Tranches salariale'!$Q64*0.65),4)*$Y$1,2))</f>
        <v>66.42</v>
      </c>
      <c r="D65" s="59">
        <f>IF(ROUND(ROUND(('Loonschijven_Tranches salariale'!$Q64*0.6),4)*$Y$1,2)&lt;D$8,D$8,ROUND(ROUND(('Loonschijven_Tranches salariale'!$Q64*0.6),4)*$Y$1,2))</f>
        <v>61.31</v>
      </c>
      <c r="E65" s="59">
        <f>IF(ROUND(ROUND(('Loonschijven_Tranches salariale'!$Q64*0.6),4)*$Y$1,2)&lt;E$8,E$8,IF('Loonschijven_Tranches salariale'!$Q64&lt;Basisbedragen!$C$24,ROUND(ROUND(('Loonschijven_Tranches salariale'!$Q64*0.6),4)*$Y$1,2),ROUND(ROUND((Basisbedragen!$C$24*0.6),4)*$Y$1,2)))</f>
        <v>61.31</v>
      </c>
      <c r="G65" s="59">
        <f>IF(ROUND(ROUND(('Loonschijven_Tranches salariale'!$Q64*0.6),4)*$Y$1,2)&lt;G$8,G$8,IF('Loonschijven_Tranches salariale'!$Q64&lt;Basisbedragen!$C$23,ROUND(ROUND(('Loonschijven_Tranches salariale'!$Q64*0.6),4)*$Y$1,2),ROUND(ROUND((Basisbedragen!$C$23*0.6),4)*$Y$1,2)))</f>
        <v>61.31</v>
      </c>
      <c r="H65" s="59">
        <f>IF(ROUND(ROUND(('Loonschijven_Tranches salariale'!$Q64*0.4),4)*$Y$1,2)&lt;H$8,H$8,IF('Loonschijven_Tranches salariale'!$Q64&lt;Basisbedragen!$C$23,ROUND(ROUND(('Loonschijven_Tranches salariale'!$Q64*0.4),4)*$Y$1,2),ROUND(ROUND((Basisbedragen!$C$23*0.4),4)*$Y$1,2)))</f>
        <v>40.869999999999997</v>
      </c>
      <c r="I65" s="59">
        <f t="shared" si="9"/>
        <v>38.31</v>
      </c>
      <c r="J65" s="59">
        <f t="shared" si="9"/>
        <v>35.909999999999997</v>
      </c>
      <c r="K65" s="59">
        <f t="shared" si="9"/>
        <v>33.5</v>
      </c>
      <c r="L65" s="59">
        <f t="shared" si="9"/>
        <v>31.1</v>
      </c>
      <c r="N65" s="234">
        <f t="shared" si="7"/>
        <v>26.06</v>
      </c>
      <c r="O65" s="59">
        <f t="shared" si="10"/>
        <v>28.69</v>
      </c>
      <c r="Q65" s="59">
        <f>IF(ROUND(ROUND(('Loonschijven_Tranches salariale'!$Q64*0.55),4)*$Y$1,2)&lt;Q$8,Q$8,IF('Loonschijven_Tranches salariale'!$Q64&lt;Basisbedragen!$C$23,ROUND(ROUND(('Loonschijven_Tranches salariale'!$Q64*0.55),4)*$Y$1,2),ROUND(ROUND((Basisbedragen!$C$23*0.55),4)*$Y$1,2)))</f>
        <v>56.2</v>
      </c>
      <c r="R65" s="59">
        <f t="shared" si="11"/>
        <v>51.16</v>
      </c>
      <c r="S65" s="59">
        <f t="shared" si="11"/>
        <v>46.12</v>
      </c>
      <c r="T65" s="59">
        <f t="shared" si="11"/>
        <v>41.08</v>
      </c>
      <c r="U65" s="59">
        <f t="shared" si="11"/>
        <v>36.04</v>
      </c>
      <c r="W65" s="234">
        <f>N65+ROUND(Basisbedragen!$C$57*$Y$1,2)</f>
        <v>31</v>
      </c>
      <c r="X65" s="59">
        <f>$O65+ROUND(Basisbedragen!$C$57*$Y$1,2)</f>
        <v>33.630000000000003</v>
      </c>
      <c r="AO65" s="83"/>
      <c r="AU65"/>
    </row>
    <row r="66" spans="1:47" ht="15" thickBot="1">
      <c r="A66" s="54">
        <f t="shared" si="6"/>
        <v>58</v>
      </c>
      <c r="C66" s="59">
        <f>IF(ROUND(ROUND(('Loonschijven_Tranches salariale'!$Q65*0.65),4)*$Y$1,2)&lt;C$8,C$8,ROUND(ROUND(('Loonschijven_Tranches salariale'!$Q65*0.65),4)*$Y$1,2))</f>
        <v>67.400000000000006</v>
      </c>
      <c r="D66" s="59">
        <f>IF(ROUND(ROUND(('Loonschijven_Tranches salariale'!$Q65*0.6),4)*$Y$1,2)&lt;D$8,D$8,ROUND(ROUND(('Loonschijven_Tranches salariale'!$Q65*0.6),4)*$Y$1,2))</f>
        <v>62.21</v>
      </c>
      <c r="E66" s="59">
        <f>IF(ROUND(ROUND(('Loonschijven_Tranches salariale'!$Q65*0.6),4)*$Y$1,2)&lt;E$8,E$8,IF('Loonschijven_Tranches salariale'!$Q65&lt;Basisbedragen!$C$24,ROUND(ROUND(('Loonschijven_Tranches salariale'!$Q65*0.6),4)*$Y$1,2),ROUND(ROUND((Basisbedragen!$C$24*0.6),4)*$Y$1,2)))</f>
        <v>62.21</v>
      </c>
      <c r="G66" s="59">
        <f>IF(ROUND(ROUND(('Loonschijven_Tranches salariale'!$Q65*0.6),4)*$Y$1,2)&lt;G$8,G$8,IF('Loonschijven_Tranches salariale'!$Q65&lt;Basisbedragen!$C$23,ROUND(ROUND(('Loonschijven_Tranches salariale'!$Q65*0.6),4)*$Y$1,2),ROUND(ROUND((Basisbedragen!$C$23*0.6),4)*$Y$1,2)))</f>
        <v>62.21</v>
      </c>
      <c r="H66" s="59">
        <f>IF(ROUND(ROUND(('Loonschijven_Tranches salariale'!$Q65*0.4),4)*$Y$1,2)&lt;H$8,H$8,IF('Loonschijven_Tranches salariale'!$Q65&lt;Basisbedragen!$C$23,ROUND(ROUND(('Loonschijven_Tranches salariale'!$Q65*0.4),4)*$Y$1,2),ROUND(ROUND((Basisbedragen!$C$23*0.4),4)*$Y$1,2)))</f>
        <v>41.48</v>
      </c>
      <c r="I66" s="59">
        <f t="shared" si="9"/>
        <v>38.4</v>
      </c>
      <c r="J66" s="59">
        <f t="shared" si="9"/>
        <v>35.909999999999997</v>
      </c>
      <c r="K66" s="59">
        <f t="shared" si="9"/>
        <v>33.5</v>
      </c>
      <c r="L66" s="59">
        <f t="shared" si="9"/>
        <v>31.1</v>
      </c>
      <c r="N66" s="234">
        <f t="shared" si="7"/>
        <v>26.06</v>
      </c>
      <c r="O66" s="59">
        <f t="shared" si="10"/>
        <v>28.69</v>
      </c>
      <c r="Q66" s="59">
        <f>IF(ROUND(ROUND(('Loonschijven_Tranches salariale'!$Q65*0.55),4)*$Y$1,2)&lt;Q$8,Q$8,IF('Loonschijven_Tranches salariale'!$Q65&lt;Basisbedragen!$C$23,ROUND(ROUND(('Loonschijven_Tranches salariale'!$Q65*0.55),4)*$Y$1,2),ROUND(ROUND((Basisbedragen!$C$23*0.55),4)*$Y$1,2)))</f>
        <v>57.03</v>
      </c>
      <c r="R66" s="59">
        <f t="shared" si="11"/>
        <v>51.82</v>
      </c>
      <c r="S66" s="59">
        <f t="shared" si="11"/>
        <v>46.62</v>
      </c>
      <c r="T66" s="59">
        <f t="shared" si="11"/>
        <v>41.41</v>
      </c>
      <c r="U66" s="59">
        <f t="shared" si="11"/>
        <v>36.21</v>
      </c>
      <c r="W66" s="234">
        <f>N66+ROUND(Basisbedragen!$C$57*$Y$1,2)</f>
        <v>31</v>
      </c>
      <c r="X66" s="59">
        <f>$O66+ROUND(Basisbedragen!$C$57*$Y$1,2)</f>
        <v>33.630000000000003</v>
      </c>
      <c r="AO66" s="83"/>
      <c r="AU66"/>
    </row>
    <row r="67" spans="1:47" ht="15" thickBot="1">
      <c r="A67" s="54">
        <f t="shared" si="6"/>
        <v>59</v>
      </c>
      <c r="C67" s="59">
        <f>IF(ROUND(ROUND(('Loonschijven_Tranches salariale'!$Q66*0.65),4)*$Y$1,2)&lt;C$8,C$8,ROUND(ROUND(('Loonschijven_Tranches salariale'!$Q66*0.65),4)*$Y$1,2))</f>
        <v>68.62</v>
      </c>
      <c r="D67" s="59">
        <f>IF(ROUND(ROUND(('Loonschijven_Tranches salariale'!$Q66*0.6),4)*$Y$1,2)&lt;D$8,D$8,ROUND(ROUND(('Loonschijven_Tranches salariale'!$Q66*0.6),4)*$Y$1,2))</f>
        <v>63.34</v>
      </c>
      <c r="E67" s="59">
        <f>IF(ROUND(ROUND(('Loonschijven_Tranches salariale'!$Q66*0.6),4)*$Y$1,2)&lt;E$8,E$8,IF('Loonschijven_Tranches salariale'!$Q66&lt;Basisbedragen!$C$24,ROUND(ROUND(('Loonschijven_Tranches salariale'!$Q66*0.6),4)*$Y$1,2),ROUND(ROUND((Basisbedragen!$C$24*0.6),4)*$Y$1,2)))</f>
        <v>63.34</v>
      </c>
      <c r="G67" s="59">
        <f>IF(ROUND(ROUND(('Loonschijven_Tranches salariale'!$Q66*0.6),4)*$Y$1,2)&lt;G$8,G$8,IF('Loonschijven_Tranches salariale'!$Q66&lt;Basisbedragen!$C$23,ROUND(ROUND(('Loonschijven_Tranches salariale'!$Q66*0.6),4)*$Y$1,2),ROUND(ROUND((Basisbedragen!$C$23*0.6),4)*$Y$1,2)))</f>
        <v>63.34</v>
      </c>
      <c r="H67" s="59">
        <f>IF(ROUND(ROUND(('Loonschijven_Tranches salariale'!$Q66*0.4),4)*$Y$1,2)&lt;H$8,H$8,IF('Loonschijven_Tranches salariale'!$Q66&lt;Basisbedragen!$C$23,ROUND(ROUND(('Loonschijven_Tranches salariale'!$Q66*0.4),4)*$Y$1,2),ROUND(ROUND((Basisbedragen!$C$23*0.4),4)*$Y$1,2)))</f>
        <v>42.23</v>
      </c>
      <c r="I67" s="59">
        <f t="shared" si="9"/>
        <v>39</v>
      </c>
      <c r="J67" s="59">
        <f t="shared" si="9"/>
        <v>35.909999999999997</v>
      </c>
      <c r="K67" s="59">
        <f t="shared" si="9"/>
        <v>33.5</v>
      </c>
      <c r="L67" s="59">
        <f t="shared" si="9"/>
        <v>31.1</v>
      </c>
      <c r="N67" s="234">
        <f t="shared" si="7"/>
        <v>26.06</v>
      </c>
      <c r="O67" s="59">
        <f t="shared" si="10"/>
        <v>28.69</v>
      </c>
      <c r="Q67" s="59">
        <f>IF(ROUND(ROUND(('Loonschijven_Tranches salariale'!$Q66*0.55),4)*$Y$1,2)&lt;Q$8,Q$8,IF('Loonschijven_Tranches salariale'!$Q66&lt;Basisbedragen!$C$23,ROUND(ROUND(('Loonschijven_Tranches salariale'!$Q66*0.55),4)*$Y$1,2),ROUND(ROUND((Basisbedragen!$C$23*0.55),4)*$Y$1,2)))</f>
        <v>58.06</v>
      </c>
      <c r="R67" s="59">
        <f t="shared" si="11"/>
        <v>52.65</v>
      </c>
      <c r="S67" s="59">
        <f t="shared" si="11"/>
        <v>47.24</v>
      </c>
      <c r="T67" s="59">
        <f t="shared" si="11"/>
        <v>41.82</v>
      </c>
      <c r="U67" s="59">
        <f t="shared" si="11"/>
        <v>36.409999999999997</v>
      </c>
      <c r="W67" s="234">
        <f>N67+ROUND(Basisbedragen!$C$57*$Y$1,2)</f>
        <v>31</v>
      </c>
      <c r="X67" s="59">
        <f>$O67+ROUND(Basisbedragen!$C$57*$Y$1,2)</f>
        <v>33.630000000000003</v>
      </c>
      <c r="AO67" s="83"/>
      <c r="AU67"/>
    </row>
    <row r="68" spans="1:47" ht="15" thickBot="1">
      <c r="A68" s="54">
        <f t="shared" si="6"/>
        <v>60</v>
      </c>
      <c r="C68" s="59">
        <f>IF(ROUND(ROUND(('Loonschijven_Tranches salariale'!$Q67*0.65),4)*$Y$1,2)&lt;C$8,C$8,ROUND(ROUND(('Loonschijven_Tranches salariale'!$Q67*0.65),4)*$Y$1,2))</f>
        <v>69.47</v>
      </c>
      <c r="D68" s="59">
        <f>IF(ROUND(ROUND(('Loonschijven_Tranches salariale'!$Q67*0.6),4)*$Y$1,2)&lt;D$8,D$8,ROUND(ROUND(('Loonschijven_Tranches salariale'!$Q67*0.6),4)*$Y$1,2))</f>
        <v>64.13</v>
      </c>
      <c r="E68" s="59">
        <f>IF(ROUND(ROUND(('Loonschijven_Tranches salariale'!$Q67*0.6),4)*$Y$1,2)&lt;E$8,E$8,IF('Loonschijven_Tranches salariale'!$Q67&lt;Basisbedragen!$C$24,ROUND(ROUND(('Loonschijven_Tranches salariale'!$Q67*0.6),4)*$Y$1,2),ROUND(ROUND((Basisbedragen!$C$24*0.6),4)*$Y$1,2)))</f>
        <v>64.13</v>
      </c>
      <c r="G68" s="59">
        <f>IF(ROUND(ROUND(('Loonschijven_Tranches salariale'!$Q67*0.6),4)*$Y$1,2)&lt;G$8,G$8,IF('Loonschijven_Tranches salariale'!$Q67&lt;Basisbedragen!$C$23,ROUND(ROUND(('Loonschijven_Tranches salariale'!$Q67*0.6),4)*$Y$1,2),ROUND(ROUND((Basisbedragen!$C$23*0.6),4)*$Y$1,2)))</f>
        <v>64.13</v>
      </c>
      <c r="H68" s="59">
        <f>IF(ROUND(ROUND(('Loonschijven_Tranches salariale'!$Q67*0.4),4)*$Y$1,2)&lt;H$8,H$8,IF('Loonschijven_Tranches salariale'!$Q67&lt;Basisbedragen!$C$23,ROUND(ROUND(('Loonschijven_Tranches salariale'!$Q67*0.4),4)*$Y$1,2),ROUND(ROUND((Basisbedragen!$C$23*0.4),4)*$Y$1,2)))</f>
        <v>42.75</v>
      </c>
      <c r="I68" s="59">
        <f t="shared" si="9"/>
        <v>39.409999999999997</v>
      </c>
      <c r="J68" s="59">
        <f t="shared" si="9"/>
        <v>36.07</v>
      </c>
      <c r="K68" s="59">
        <f t="shared" si="9"/>
        <v>33.5</v>
      </c>
      <c r="L68" s="59">
        <f t="shared" si="9"/>
        <v>31.1</v>
      </c>
      <c r="N68" s="234">
        <f t="shared" si="7"/>
        <v>26.06</v>
      </c>
      <c r="O68" s="59">
        <f t="shared" si="10"/>
        <v>28.69</v>
      </c>
      <c r="Q68" s="59">
        <f>IF(ROUND(ROUND(('Loonschijven_Tranches salariale'!$Q67*0.55),4)*$Y$1,2)&lt;Q$8,Q$8,IF('Loonschijven_Tranches salariale'!$Q67&lt;Basisbedragen!$C$23,ROUND(ROUND(('Loonschijven_Tranches salariale'!$Q67*0.55),4)*$Y$1,2),ROUND(ROUND((Basisbedragen!$C$23*0.55),4)*$Y$1,2)))</f>
        <v>58.79</v>
      </c>
      <c r="R68" s="59">
        <f t="shared" si="11"/>
        <v>53.23</v>
      </c>
      <c r="S68" s="59">
        <f t="shared" si="11"/>
        <v>47.67</v>
      </c>
      <c r="T68" s="59">
        <f t="shared" si="11"/>
        <v>42.12</v>
      </c>
      <c r="U68" s="59">
        <f t="shared" si="11"/>
        <v>36.56</v>
      </c>
      <c r="W68" s="234">
        <f>N68+ROUND(Basisbedragen!$C$57*$Y$1,2)</f>
        <v>31</v>
      </c>
      <c r="X68" s="59">
        <f>$O68+ROUND(Basisbedragen!$C$57*$Y$1,2)</f>
        <v>33.630000000000003</v>
      </c>
      <c r="AO68" s="83"/>
      <c r="AU68"/>
    </row>
    <row r="69" spans="1:47" ht="15" thickBot="1">
      <c r="A69" s="54">
        <f t="shared" si="6"/>
        <v>61</v>
      </c>
      <c r="C69" s="59">
        <f>IF(ROUND(ROUND(('Loonschijven_Tranches salariale'!$Q68*0.65),4)*$Y$1,2)&lt;C$8,C$8,ROUND(ROUND(('Loonschijven_Tranches salariale'!$Q68*0.65),4)*$Y$1,2))</f>
        <v>70.33</v>
      </c>
      <c r="D69" s="59">
        <f>IF(ROUND(ROUND(('Loonschijven_Tranches salariale'!$Q68*0.6),4)*$Y$1,2)&lt;D$8,D$8,ROUND(ROUND(('Loonschijven_Tranches salariale'!$Q68*0.6),4)*$Y$1,2))</f>
        <v>64.92</v>
      </c>
      <c r="E69" s="59">
        <f>IF(ROUND(ROUND(('Loonschijven_Tranches salariale'!$Q68*0.6),4)*$Y$1,2)&lt;E$8,E$8,IF('Loonschijven_Tranches salariale'!$Q68&lt;Basisbedragen!$C$24,ROUND(ROUND(('Loonschijven_Tranches salariale'!$Q68*0.6),4)*$Y$1,2),ROUND(ROUND((Basisbedragen!$C$24*0.6),4)*$Y$1,2)))</f>
        <v>64.92</v>
      </c>
      <c r="G69" s="59">
        <f>IF(ROUND(ROUND(('Loonschijven_Tranches salariale'!$Q68*0.6),4)*$Y$1,2)&lt;G$8,G$8,IF('Loonschijven_Tranches salariale'!$Q68&lt;Basisbedragen!$C$23,ROUND(ROUND(('Loonschijven_Tranches salariale'!$Q68*0.6),4)*$Y$1,2),ROUND(ROUND((Basisbedragen!$C$23*0.6),4)*$Y$1,2)))</f>
        <v>64.92</v>
      </c>
      <c r="H69" s="59">
        <f>IF(ROUND(ROUND(('Loonschijven_Tranches salariale'!$Q68*0.4),4)*$Y$1,2)&lt;H$8,H$8,IF('Loonschijven_Tranches salariale'!$Q68&lt;Basisbedragen!$C$23,ROUND(ROUND(('Loonschijven_Tranches salariale'!$Q68*0.4),4)*$Y$1,2),ROUND(ROUND((Basisbedragen!$C$23*0.4),4)*$Y$1,2)))</f>
        <v>43.28</v>
      </c>
      <c r="I69" s="59">
        <f t="shared" si="9"/>
        <v>39.840000000000003</v>
      </c>
      <c r="J69" s="59">
        <f t="shared" si="9"/>
        <v>36.39</v>
      </c>
      <c r="K69" s="59">
        <f t="shared" si="9"/>
        <v>33.5</v>
      </c>
      <c r="L69" s="59">
        <f t="shared" si="9"/>
        <v>31.1</v>
      </c>
      <c r="N69" s="234">
        <f t="shared" si="7"/>
        <v>26.06</v>
      </c>
      <c r="O69" s="59">
        <f t="shared" si="10"/>
        <v>28.69</v>
      </c>
      <c r="Q69" s="59">
        <f>IF(ROUND(ROUND(('Loonschijven_Tranches salariale'!$Q68*0.55),4)*$Y$1,2)&lt;Q$8,Q$8,IF('Loonschijven_Tranches salariale'!$Q68&lt;Basisbedragen!$C$23,ROUND(ROUND(('Loonschijven_Tranches salariale'!$Q68*0.55),4)*$Y$1,2),ROUND(ROUND((Basisbedragen!$C$23*0.55),4)*$Y$1,2)))</f>
        <v>59.51</v>
      </c>
      <c r="R69" s="59">
        <f t="shared" ref="R69:U87" si="12">IF(ROUND($Q69-(R$6*($Q69-$W69)/5),2)&lt;$X69,$X69,ROUND($Q69-(R$6*($Q69-$W69)/5),2))</f>
        <v>53.81</v>
      </c>
      <c r="S69" s="59">
        <f t="shared" si="12"/>
        <v>48.11</v>
      </c>
      <c r="T69" s="59">
        <f t="shared" si="12"/>
        <v>42.4</v>
      </c>
      <c r="U69" s="59">
        <f t="shared" si="12"/>
        <v>36.700000000000003</v>
      </c>
      <c r="W69" s="234">
        <f>N69+ROUND(Basisbedragen!$C$57*$Y$1,2)</f>
        <v>31</v>
      </c>
      <c r="X69" s="59">
        <f>$O69+ROUND(Basisbedragen!$C$57*$Y$1,2)</f>
        <v>33.630000000000003</v>
      </c>
      <c r="AO69" s="83"/>
      <c r="AU69"/>
    </row>
    <row r="70" spans="1:47" ht="15" thickBot="1">
      <c r="A70" s="54">
        <f t="shared" si="6"/>
        <v>62</v>
      </c>
      <c r="C70" s="59">
        <f>IF(ROUND(ROUND(('Loonschijven_Tranches salariale'!$Q69*0.65),4)*$Y$1,2)&lt;C$8,C$8,ROUND(ROUND(('Loonschijven_Tranches salariale'!$Q69*0.65),4)*$Y$1,2))</f>
        <v>71.3</v>
      </c>
      <c r="D70" s="59">
        <f>IF(ROUND(ROUND(('Loonschijven_Tranches salariale'!$Q69*0.6),4)*$Y$1,2)&lt;D$8,D$8,ROUND(ROUND(('Loonschijven_Tranches salariale'!$Q69*0.6),4)*$Y$1,2))</f>
        <v>65.819999999999993</v>
      </c>
      <c r="E70" s="59">
        <f>IF(ROUND(ROUND(('Loonschijven_Tranches salariale'!$Q69*0.6),4)*$Y$1,2)&lt;E$8,E$8,IF('Loonschijven_Tranches salariale'!$Q69&lt;Basisbedragen!$C$24,ROUND(ROUND(('Loonschijven_Tranches salariale'!$Q69*0.6),4)*$Y$1,2),ROUND(ROUND((Basisbedragen!$C$24*0.6),4)*$Y$1,2)))</f>
        <v>65.819999999999993</v>
      </c>
      <c r="G70" s="59">
        <f>IF(ROUND(ROUND(('Loonschijven_Tranches salariale'!$Q69*0.6),4)*$Y$1,2)&lt;G$8,G$8,IF('Loonschijven_Tranches salariale'!$Q69&lt;Basisbedragen!$C$23,ROUND(ROUND(('Loonschijven_Tranches salariale'!$Q69*0.6),4)*$Y$1,2),ROUND(ROUND((Basisbedragen!$C$23*0.6),4)*$Y$1,2)))</f>
        <v>65.819999999999993</v>
      </c>
      <c r="H70" s="59">
        <f>IF(ROUND(ROUND(('Loonschijven_Tranches salariale'!$Q69*0.4),4)*$Y$1,2)&lt;H$8,H$8,IF('Loonschijven_Tranches salariale'!$Q69&lt;Basisbedragen!$C$23,ROUND(ROUND(('Loonschijven_Tranches salariale'!$Q69*0.4),4)*$Y$1,2),ROUND(ROUND((Basisbedragen!$C$23*0.4),4)*$Y$1,2)))</f>
        <v>43.88</v>
      </c>
      <c r="I70" s="59">
        <f t="shared" si="9"/>
        <v>40.32</v>
      </c>
      <c r="J70" s="59">
        <f t="shared" si="9"/>
        <v>36.75</v>
      </c>
      <c r="K70" s="59">
        <f t="shared" si="9"/>
        <v>33.5</v>
      </c>
      <c r="L70" s="59">
        <f t="shared" si="9"/>
        <v>31.1</v>
      </c>
      <c r="N70" s="234">
        <f t="shared" si="7"/>
        <v>26.06</v>
      </c>
      <c r="O70" s="59">
        <f t="shared" si="10"/>
        <v>28.69</v>
      </c>
      <c r="Q70" s="59">
        <f>IF(ROUND(ROUND(('Loonschijven_Tranches salariale'!$Q69*0.55),4)*$Y$1,2)&lt;Q$8,Q$8,IF('Loonschijven_Tranches salariale'!$Q69&lt;Basisbedragen!$C$23,ROUND(ROUND(('Loonschijven_Tranches salariale'!$Q69*0.55),4)*$Y$1,2),ROUND(ROUND((Basisbedragen!$C$23*0.55),4)*$Y$1,2)))</f>
        <v>60.33</v>
      </c>
      <c r="R70" s="59">
        <f t="shared" si="12"/>
        <v>54.46</v>
      </c>
      <c r="S70" s="59">
        <f t="shared" si="12"/>
        <v>48.6</v>
      </c>
      <c r="T70" s="59">
        <f t="shared" si="12"/>
        <v>42.73</v>
      </c>
      <c r="U70" s="59">
        <f t="shared" si="12"/>
        <v>36.869999999999997</v>
      </c>
      <c r="W70" s="234">
        <f>N70+ROUND(Basisbedragen!$C$57*$Y$1,2)</f>
        <v>31</v>
      </c>
      <c r="X70" s="59">
        <f>$O70+ROUND(Basisbedragen!$C$57*$Y$1,2)</f>
        <v>33.630000000000003</v>
      </c>
      <c r="AO70" s="83"/>
      <c r="AU70"/>
    </row>
    <row r="71" spans="1:47" ht="15" thickBot="1">
      <c r="A71" s="54">
        <f t="shared" si="6"/>
        <v>63</v>
      </c>
      <c r="C71" s="59">
        <f>IF(ROUND(ROUND(('Loonschijven_Tranches salariale'!$Q70*0.65),4)*$Y$1,2)&lt;C$8,C$8,ROUND(ROUND(('Loonschijven_Tranches salariale'!$Q70*0.65),4)*$Y$1,2))</f>
        <v>72.28</v>
      </c>
      <c r="D71" s="59">
        <f>IF(ROUND(ROUND(('Loonschijven_Tranches salariale'!$Q70*0.6),4)*$Y$1,2)&lt;D$8,D$8,ROUND(ROUND(('Loonschijven_Tranches salariale'!$Q70*0.6),4)*$Y$1,2))</f>
        <v>66.72</v>
      </c>
      <c r="E71" s="59">
        <f>IF(ROUND(ROUND(('Loonschijven_Tranches salariale'!$Q70*0.6),4)*$Y$1,2)&lt;E$8,E$8,IF('Loonschijven_Tranches salariale'!$Q70&lt;Basisbedragen!$C$24,ROUND(ROUND(('Loonschijven_Tranches salariale'!$Q70*0.6),4)*$Y$1,2),ROUND(ROUND((Basisbedragen!$C$24*0.6),4)*$Y$1,2)))</f>
        <v>66.72</v>
      </c>
      <c r="G71" s="59">
        <f>IF(ROUND(ROUND(('Loonschijven_Tranches salariale'!$Q70*0.6),4)*$Y$1,2)&lt;G$8,G$8,IF('Loonschijven_Tranches salariale'!$Q70&lt;Basisbedragen!$C$23,ROUND(ROUND(('Loonschijven_Tranches salariale'!$Q70*0.6),4)*$Y$1,2),ROUND(ROUND((Basisbedragen!$C$23*0.6),4)*$Y$1,2)))</f>
        <v>66.72</v>
      </c>
      <c r="H71" s="59">
        <f>IF(ROUND(ROUND(('Loonschijven_Tranches salariale'!$Q70*0.4),4)*$Y$1,2)&lt;H$8,H$8,IF('Loonschijven_Tranches salariale'!$Q70&lt;Basisbedragen!$C$23,ROUND(ROUND(('Loonschijven_Tranches salariale'!$Q70*0.4),4)*$Y$1,2),ROUND(ROUND((Basisbedragen!$C$23*0.4),4)*$Y$1,2)))</f>
        <v>44.48</v>
      </c>
      <c r="I71" s="59">
        <f t="shared" si="9"/>
        <v>40.799999999999997</v>
      </c>
      <c r="J71" s="59">
        <f t="shared" si="9"/>
        <v>37.11</v>
      </c>
      <c r="K71" s="59">
        <f t="shared" si="9"/>
        <v>33.5</v>
      </c>
      <c r="L71" s="59">
        <f t="shared" si="9"/>
        <v>31.1</v>
      </c>
      <c r="N71" s="234">
        <f t="shared" si="7"/>
        <v>26.06</v>
      </c>
      <c r="O71" s="59">
        <f t="shared" si="10"/>
        <v>28.69</v>
      </c>
      <c r="Q71" s="59">
        <f>IF(ROUND(ROUND(('Loonschijven_Tranches salariale'!$Q70*0.55),4)*$Y$1,2)&lt;Q$8,Q$8,IF('Loonschijven_Tranches salariale'!$Q70&lt;Basisbedragen!$C$23,ROUND(ROUND(('Loonschijven_Tranches salariale'!$Q70*0.55),4)*$Y$1,2),ROUND(ROUND((Basisbedragen!$C$23*0.55),4)*$Y$1,2)))</f>
        <v>61.16</v>
      </c>
      <c r="R71" s="59">
        <f t="shared" si="12"/>
        <v>55.13</v>
      </c>
      <c r="S71" s="59">
        <f t="shared" si="12"/>
        <v>49.1</v>
      </c>
      <c r="T71" s="59">
        <f t="shared" si="12"/>
        <v>43.06</v>
      </c>
      <c r="U71" s="59">
        <f t="shared" si="12"/>
        <v>37.03</v>
      </c>
      <c r="W71" s="234">
        <f>N71+ROUND(Basisbedragen!$C$57*$Y$1,2)</f>
        <v>31</v>
      </c>
      <c r="X71" s="59">
        <f>$O71+ROUND(Basisbedragen!$C$57*$Y$1,2)</f>
        <v>33.630000000000003</v>
      </c>
      <c r="AO71" s="83"/>
      <c r="AU71"/>
    </row>
    <row r="72" spans="1:47" ht="15" thickBot="1">
      <c r="A72" s="54">
        <f t="shared" si="6"/>
        <v>64</v>
      </c>
      <c r="C72" s="59">
        <f>IF(ROUND(ROUND(('Loonschijven_Tranches salariale'!$Q71*0.65),4)*$Y$1,2)&lt;C$8,C$8,ROUND(ROUND(('Loonschijven_Tranches salariale'!$Q71*0.65),4)*$Y$1,2))</f>
        <v>73.430000000000007</v>
      </c>
      <c r="D72" s="59">
        <f>IF(ROUND(ROUND(('Loonschijven_Tranches salariale'!$Q71*0.6),4)*$Y$1,2)&lt;D$8,D$8,ROUND(ROUND(('Loonschijven_Tranches salariale'!$Q71*0.6),4)*$Y$1,2))</f>
        <v>67.78</v>
      </c>
      <c r="E72" s="59">
        <f>IF(ROUND(ROUND(('Loonschijven_Tranches salariale'!$Q71*0.6),4)*$Y$1,2)&lt;E$8,E$8,IF('Loonschijven_Tranches salariale'!$Q71&lt;Basisbedragen!$C$24,ROUND(ROUND(('Loonschijven_Tranches salariale'!$Q71*0.6),4)*$Y$1,2),ROUND(ROUND((Basisbedragen!$C$24*0.6),4)*$Y$1,2)))</f>
        <v>67.78</v>
      </c>
      <c r="G72" s="59">
        <f>IF(ROUND(ROUND(('Loonschijven_Tranches salariale'!$Q71*0.6),4)*$Y$1,2)&lt;G$8,G$8,IF('Loonschijven_Tranches salariale'!$Q71&lt;Basisbedragen!$C$23,ROUND(ROUND(('Loonschijven_Tranches salariale'!$Q71*0.6),4)*$Y$1,2),ROUND(ROUND((Basisbedragen!$C$23*0.6),4)*$Y$1,2)))</f>
        <v>67.78</v>
      </c>
      <c r="H72" s="59">
        <f>IF(ROUND(ROUND(('Loonschijven_Tranches salariale'!$Q71*0.4),4)*$Y$1,2)&lt;H$8,H$8,IF('Loonschijven_Tranches salariale'!$Q71&lt;Basisbedragen!$C$23,ROUND(ROUND(('Loonschijven_Tranches salariale'!$Q71*0.4),4)*$Y$1,2),ROUND(ROUND((Basisbedragen!$C$23*0.4),4)*$Y$1,2)))</f>
        <v>45.19</v>
      </c>
      <c r="I72" s="59">
        <f t="shared" si="9"/>
        <v>41.36</v>
      </c>
      <c r="J72" s="59">
        <f t="shared" si="9"/>
        <v>37.54</v>
      </c>
      <c r="K72" s="59">
        <f t="shared" si="9"/>
        <v>33.71</v>
      </c>
      <c r="L72" s="59">
        <f t="shared" si="9"/>
        <v>31.1</v>
      </c>
      <c r="N72" s="234">
        <f t="shared" si="7"/>
        <v>26.06</v>
      </c>
      <c r="O72" s="59">
        <f t="shared" si="10"/>
        <v>28.69</v>
      </c>
      <c r="Q72" s="59">
        <f>IF(ROUND(ROUND(('Loonschijven_Tranches salariale'!$Q71*0.55),4)*$Y$1,2)&lt;Q$8,Q$8,IF('Loonschijven_Tranches salariale'!$Q71&lt;Basisbedragen!$C$23,ROUND(ROUND(('Loonschijven_Tranches salariale'!$Q71*0.55),4)*$Y$1,2),ROUND(ROUND((Basisbedragen!$C$23*0.55),4)*$Y$1,2)))</f>
        <v>62.13</v>
      </c>
      <c r="R72" s="59">
        <f t="shared" si="12"/>
        <v>55.9</v>
      </c>
      <c r="S72" s="59">
        <f t="shared" si="12"/>
        <v>49.68</v>
      </c>
      <c r="T72" s="59">
        <f t="shared" si="12"/>
        <v>43.45</v>
      </c>
      <c r="U72" s="59">
        <f t="shared" si="12"/>
        <v>37.229999999999997</v>
      </c>
      <c r="W72" s="234">
        <f>N72+ROUND(Basisbedragen!$C$57*$Y$1,2)</f>
        <v>31</v>
      </c>
      <c r="X72" s="59">
        <f>$O72+ROUND(Basisbedragen!$C$57*$Y$1,2)</f>
        <v>33.630000000000003</v>
      </c>
      <c r="AO72" s="83"/>
      <c r="AU72"/>
    </row>
    <row r="73" spans="1:47" ht="15" thickBot="1">
      <c r="A73" s="54">
        <f t="shared" si="6"/>
        <v>65</v>
      </c>
      <c r="C73" s="59">
        <f>IF(ROUND(ROUND(('Loonschijven_Tranches salariale'!$Q72*0.65),4)*$Y$1,2)&lt;C$8,C$8,ROUND(ROUND(('Loonschijven_Tranches salariale'!$Q72*0.65),4)*$Y$1,2))</f>
        <v>74.34</v>
      </c>
      <c r="D73" s="59">
        <f>IF(ROUND(ROUND(('Loonschijven_Tranches salariale'!$Q72*0.6),4)*$Y$1,2)&lt;D$8,D$8,ROUND(ROUND(('Loonschijven_Tranches salariale'!$Q72*0.6),4)*$Y$1,2))</f>
        <v>68.63</v>
      </c>
      <c r="E73" s="59">
        <f>IF(ROUND(ROUND(('Loonschijven_Tranches salariale'!$Q72*0.6),4)*$Y$1,2)&lt;E$8,E$8,IF('Loonschijven_Tranches salariale'!$Q72&lt;Basisbedragen!$C$24,ROUND(ROUND(('Loonschijven_Tranches salariale'!$Q72*0.6),4)*$Y$1,2),ROUND(ROUND((Basisbedragen!$C$24*0.6),4)*$Y$1,2)))</f>
        <v>68.63</v>
      </c>
      <c r="G73" s="59">
        <f>IF(ROUND(ROUND(('Loonschijven_Tranches salariale'!$Q72*0.6),4)*$Y$1,2)&lt;G$8,G$8,IF('Loonschijven_Tranches salariale'!$Q72&lt;Basisbedragen!$C$23,ROUND(ROUND(('Loonschijven_Tranches salariale'!$Q72*0.6),4)*$Y$1,2),ROUND(ROUND((Basisbedragen!$C$23*0.6),4)*$Y$1,2)))</f>
        <v>68.63</v>
      </c>
      <c r="H73" s="59">
        <f>IF(ROUND(ROUND(('Loonschijven_Tranches salariale'!$Q72*0.4),4)*$Y$1,2)&lt;H$8,H$8,IF('Loonschijven_Tranches salariale'!$Q72&lt;Basisbedragen!$C$23,ROUND(ROUND(('Loonschijven_Tranches salariale'!$Q72*0.4),4)*$Y$1,2),ROUND(ROUND((Basisbedragen!$C$23*0.4),4)*$Y$1,2)))</f>
        <v>45.75</v>
      </c>
      <c r="I73" s="59">
        <f t="shared" si="9"/>
        <v>41.81</v>
      </c>
      <c r="J73" s="59">
        <f t="shared" si="9"/>
        <v>37.869999999999997</v>
      </c>
      <c r="K73" s="59">
        <f t="shared" si="9"/>
        <v>33.94</v>
      </c>
      <c r="L73" s="59">
        <f t="shared" si="9"/>
        <v>31.1</v>
      </c>
      <c r="N73" s="234">
        <f t="shared" si="7"/>
        <v>26.06</v>
      </c>
      <c r="O73" s="59">
        <f t="shared" si="10"/>
        <v>28.69</v>
      </c>
      <c r="Q73" s="59">
        <f>IF(ROUND(ROUND(('Loonschijven_Tranches salariale'!$Q72*0.55),4)*$Y$1,2)&lt;Q$8,Q$8,IF('Loonschijven_Tranches salariale'!$Q72&lt;Basisbedragen!$C$23,ROUND(ROUND(('Loonschijven_Tranches salariale'!$Q72*0.55),4)*$Y$1,2),ROUND(ROUND((Basisbedragen!$C$23*0.55),4)*$Y$1,2)))</f>
        <v>62.91</v>
      </c>
      <c r="R73" s="59">
        <f t="shared" si="12"/>
        <v>56.53</v>
      </c>
      <c r="S73" s="59">
        <f t="shared" si="12"/>
        <v>50.15</v>
      </c>
      <c r="T73" s="59">
        <f t="shared" si="12"/>
        <v>43.76</v>
      </c>
      <c r="U73" s="59">
        <f t="shared" si="12"/>
        <v>37.380000000000003</v>
      </c>
      <c r="W73" s="234">
        <f>N73+ROUND(Basisbedragen!$C$57*$Y$1,2)</f>
        <v>31</v>
      </c>
      <c r="X73" s="59">
        <f>$O73+ROUND(Basisbedragen!$C$57*$Y$1,2)</f>
        <v>33.630000000000003</v>
      </c>
      <c r="AO73" s="83"/>
      <c r="AU73"/>
    </row>
    <row r="74" spans="1:47" ht="15" thickBot="1">
      <c r="A74" s="54">
        <f t="shared" si="6"/>
        <v>66</v>
      </c>
      <c r="C74" s="59">
        <f>IF(ROUND(ROUND(('Loonschijven_Tranches salariale'!$Q73*0.65),4)*$Y$1,2)&lt;C$8,C$8,ROUND(ROUND(('Loonschijven_Tranches salariale'!$Q73*0.65),4)*$Y$1,2))</f>
        <v>75.209999999999994</v>
      </c>
      <c r="D74" s="59">
        <f>IF(ROUND(ROUND(('Loonschijven_Tranches salariale'!$Q73*0.6),4)*$Y$1,2)&lt;D$8,D$8,ROUND(ROUND(('Loonschijven_Tranches salariale'!$Q73*0.6),4)*$Y$1,2))</f>
        <v>69.430000000000007</v>
      </c>
      <c r="E74" s="59">
        <f>IF(ROUND(ROUND(('Loonschijven_Tranches salariale'!$Q73*0.6),4)*$Y$1,2)&lt;E$8,E$8,IF('Loonschijven_Tranches salariale'!$Q73&lt;Basisbedragen!$C$24,ROUND(ROUND(('Loonschijven_Tranches salariale'!$Q73*0.6),4)*$Y$1,2),ROUND(ROUND((Basisbedragen!$C$24*0.6),4)*$Y$1,2)))</f>
        <v>69.430000000000007</v>
      </c>
      <c r="G74" s="59">
        <f>IF(ROUND(ROUND(('Loonschijven_Tranches salariale'!$Q73*0.6),4)*$Y$1,2)&lt;G$8,G$8,IF('Loonschijven_Tranches salariale'!$Q73&lt;Basisbedragen!$C$23,ROUND(ROUND(('Loonschijven_Tranches salariale'!$Q73*0.6),4)*$Y$1,2),ROUND(ROUND((Basisbedragen!$C$23*0.6),4)*$Y$1,2)))</f>
        <v>68.989999999999995</v>
      </c>
      <c r="H74" s="59">
        <f>IF(ROUND(ROUND(('Loonschijven_Tranches salariale'!$Q73*0.4),4)*$Y$1,2)&lt;H$8,H$8,IF('Loonschijven_Tranches salariale'!$Q73&lt;Basisbedragen!$C$23,ROUND(ROUND(('Loonschijven_Tranches salariale'!$Q73*0.4),4)*$Y$1,2),ROUND(ROUND((Basisbedragen!$C$23*0.4),4)*$Y$1,2)))</f>
        <v>45.99</v>
      </c>
      <c r="I74" s="59">
        <f t="shared" si="9"/>
        <v>42</v>
      </c>
      <c r="J74" s="59">
        <f t="shared" si="9"/>
        <v>38.020000000000003</v>
      </c>
      <c r="K74" s="59">
        <f t="shared" si="9"/>
        <v>34.03</v>
      </c>
      <c r="L74" s="59">
        <f t="shared" si="9"/>
        <v>31.1</v>
      </c>
      <c r="N74" s="234">
        <f t="shared" si="7"/>
        <v>26.06</v>
      </c>
      <c r="O74" s="59">
        <f t="shared" ref="O74:O87" si="13">$O$9</f>
        <v>28.69</v>
      </c>
      <c r="Q74" s="59">
        <f>IF(ROUND(ROUND(('Loonschijven_Tranches salariale'!$Q73*0.55),4)*$Y$1,2)&lt;Q$8,Q$8,IF('Loonschijven_Tranches salariale'!$Q73&lt;Basisbedragen!$C$23,ROUND(ROUND(('Loonschijven_Tranches salariale'!$Q73*0.55),4)*$Y$1,2),ROUND(ROUND((Basisbedragen!$C$23*0.55),4)*$Y$1,2)))</f>
        <v>63.24</v>
      </c>
      <c r="R74" s="59">
        <f t="shared" si="12"/>
        <v>56.79</v>
      </c>
      <c r="S74" s="59">
        <f t="shared" si="12"/>
        <v>50.34</v>
      </c>
      <c r="T74" s="59">
        <f t="shared" si="12"/>
        <v>43.9</v>
      </c>
      <c r="U74" s="59">
        <f t="shared" si="12"/>
        <v>37.450000000000003</v>
      </c>
      <c r="W74" s="234">
        <f>N74+ROUND(Basisbedragen!$C$57*$Y$1,2)</f>
        <v>31</v>
      </c>
      <c r="X74" s="59">
        <f>$O74+ROUND(Basisbedragen!$C$57*$Y$1,2)</f>
        <v>33.630000000000003</v>
      </c>
      <c r="AO74" s="83"/>
      <c r="AU74"/>
    </row>
    <row r="75" spans="1:47" ht="15" thickBot="1">
      <c r="A75" s="54">
        <f t="shared" ref="A75:A82" si="14">A74+1</f>
        <v>67</v>
      </c>
      <c r="C75" s="59">
        <f>IF(ROUND(ROUND(('Loonschijven_Tranches salariale'!$Q74*0.65),4)*$Y$1,2)&lt;C$8,C$8,ROUND(ROUND(('Loonschijven_Tranches salariale'!$Q74*0.65),4)*$Y$1,2))</f>
        <v>76.19</v>
      </c>
      <c r="D75" s="59">
        <f>IF(ROUND(ROUND(('Loonschijven_Tranches salariale'!$Q74*0.6),4)*$Y$1,2)&lt;D$8,D$8,ROUND(ROUND(('Loonschijven_Tranches salariale'!$Q74*0.6),4)*$Y$1,2))</f>
        <v>70.33</v>
      </c>
      <c r="E75" s="59">
        <f>IF(ROUND(ROUND(('Loonschijven_Tranches salariale'!$Q74*0.6),4)*$Y$1,2)&lt;E$8,E$8,IF('Loonschijven_Tranches salariale'!$Q74&lt;Basisbedragen!$C$24,ROUND(ROUND(('Loonschijven_Tranches salariale'!$Q74*0.6),4)*$Y$1,2),ROUND(ROUND((Basisbedragen!$C$24*0.6),4)*$Y$1,2)))</f>
        <v>70.33</v>
      </c>
      <c r="G75" s="59">
        <f>IF(ROUND(ROUND(('Loonschijven_Tranches salariale'!$Q74*0.6),4)*$Y$1,2)&lt;G$8,G$8,IF('Loonschijven_Tranches salariale'!$Q74&lt;Basisbedragen!$C$23,ROUND(ROUND(('Loonschijven_Tranches salariale'!$Q74*0.6),4)*$Y$1,2),ROUND(ROUND((Basisbedragen!$C$23*0.6),4)*$Y$1,2)))</f>
        <v>68.989999999999995</v>
      </c>
      <c r="H75" s="59">
        <f>IF(ROUND(ROUND(('Loonschijven_Tranches salariale'!$Q74*0.4),4)*$Y$1,2)&lt;H$8,H$8,IF('Loonschijven_Tranches salariale'!$Q74&lt;Basisbedragen!$C$23,ROUND(ROUND(('Loonschijven_Tranches salariale'!$Q74*0.4),4)*$Y$1,2),ROUND(ROUND((Basisbedragen!$C$23*0.4),4)*$Y$1,2)))</f>
        <v>45.99</v>
      </c>
      <c r="I75" s="59">
        <f t="shared" si="9"/>
        <v>42</v>
      </c>
      <c r="J75" s="59">
        <f t="shared" si="9"/>
        <v>38.020000000000003</v>
      </c>
      <c r="K75" s="59">
        <f t="shared" si="9"/>
        <v>34.03</v>
      </c>
      <c r="L75" s="59">
        <f t="shared" si="9"/>
        <v>31.1</v>
      </c>
      <c r="N75" s="234">
        <f t="shared" ref="N75:N87" si="15">$N$9</f>
        <v>26.06</v>
      </c>
      <c r="O75" s="59">
        <f t="shared" si="13"/>
        <v>28.69</v>
      </c>
      <c r="Q75" s="59">
        <f>IF(ROUND(ROUND(('Loonschijven_Tranches salariale'!$Q74*0.55),4)*$Y$1,2)&lt;Q$8,Q$8,IF('Loonschijven_Tranches salariale'!$Q74&lt;Basisbedragen!$C$23,ROUND(ROUND(('Loonschijven_Tranches salariale'!$Q74*0.55),4)*$Y$1,2),ROUND(ROUND((Basisbedragen!$C$23*0.55),4)*$Y$1,2)))</f>
        <v>63.24</v>
      </c>
      <c r="R75" s="59">
        <f t="shared" si="12"/>
        <v>56.79</v>
      </c>
      <c r="S75" s="59">
        <f t="shared" si="12"/>
        <v>50.34</v>
      </c>
      <c r="T75" s="59">
        <f t="shared" si="12"/>
        <v>43.9</v>
      </c>
      <c r="U75" s="59">
        <f t="shared" si="12"/>
        <v>37.450000000000003</v>
      </c>
      <c r="W75" s="234">
        <f>N75+ROUND(Basisbedragen!$C$57*$Y$1,2)</f>
        <v>31</v>
      </c>
      <c r="X75" s="59">
        <f>$O75+ROUND(Basisbedragen!$C$57*$Y$1,2)</f>
        <v>33.630000000000003</v>
      </c>
      <c r="AO75" s="83"/>
      <c r="AU75"/>
    </row>
    <row r="76" spans="1:47" ht="15" thickBot="1">
      <c r="A76" s="54">
        <f t="shared" si="14"/>
        <v>68</v>
      </c>
      <c r="C76" s="59">
        <f>IF(ROUND(ROUND(('Loonschijven_Tranches salariale'!$Q75*0.65),4)*$Y$1,2)&lt;C$8,C$8,ROUND(ROUND(('Loonschijven_Tranches salariale'!$Q75*0.65),4)*$Y$1,2))</f>
        <v>77.16</v>
      </c>
      <c r="D76" s="59">
        <f>IF(ROUND(ROUND(('Loonschijven_Tranches salariale'!$Q75*0.6),4)*$Y$1,2)&lt;D$8,D$8,ROUND(ROUND(('Loonschijven_Tranches salariale'!$Q75*0.6),4)*$Y$1,2))</f>
        <v>71.23</v>
      </c>
      <c r="E76" s="59">
        <f>IF(ROUND(ROUND(('Loonschijven_Tranches salariale'!$Q75*0.6),4)*$Y$1,2)&lt;E$8,E$8,IF('Loonschijven_Tranches salariale'!$Q75&lt;Basisbedragen!$C$24,ROUND(ROUND(('Loonschijven_Tranches salariale'!$Q75*0.6),4)*$Y$1,2),ROUND(ROUND((Basisbedragen!$C$24*0.6),4)*$Y$1,2)))</f>
        <v>71.23</v>
      </c>
      <c r="G76" s="59">
        <f>IF(ROUND(ROUND(('Loonschijven_Tranches salariale'!$Q75*0.6),4)*$Y$1,2)&lt;G$8,G$8,IF('Loonschijven_Tranches salariale'!$Q75&lt;Basisbedragen!$C$23,ROUND(ROUND(('Loonschijven_Tranches salariale'!$Q75*0.6),4)*$Y$1,2),ROUND(ROUND((Basisbedragen!$C$23*0.6),4)*$Y$1,2)))</f>
        <v>68.989999999999995</v>
      </c>
      <c r="H76" s="59">
        <f>IF(ROUND(ROUND(('Loonschijven_Tranches salariale'!$Q75*0.4),4)*$Y$1,2)&lt;H$8,H$8,IF('Loonschijven_Tranches salariale'!$Q75&lt;Basisbedragen!$C$23,ROUND(ROUND(('Loonschijven_Tranches salariale'!$Q75*0.4),4)*$Y$1,2),ROUND(ROUND((Basisbedragen!$C$23*0.4),4)*$Y$1,2)))</f>
        <v>45.99</v>
      </c>
      <c r="I76" s="59">
        <f t="shared" si="9"/>
        <v>42</v>
      </c>
      <c r="J76" s="59">
        <f t="shared" si="9"/>
        <v>38.020000000000003</v>
      </c>
      <c r="K76" s="59">
        <f t="shared" si="9"/>
        <v>34.03</v>
      </c>
      <c r="L76" s="59">
        <f t="shared" si="9"/>
        <v>31.1</v>
      </c>
      <c r="N76" s="234">
        <f t="shared" si="15"/>
        <v>26.06</v>
      </c>
      <c r="O76" s="59">
        <f t="shared" si="13"/>
        <v>28.69</v>
      </c>
      <c r="Q76" s="59">
        <f>IF(ROUND(ROUND(('Loonschijven_Tranches salariale'!$Q75*0.55),4)*$Y$1,2)&lt;Q$8,Q$8,IF('Loonschijven_Tranches salariale'!$Q75&lt;Basisbedragen!$C$23,ROUND(ROUND(('Loonschijven_Tranches salariale'!$Q75*0.55),4)*$Y$1,2),ROUND(ROUND((Basisbedragen!$C$23*0.55),4)*$Y$1,2)))</f>
        <v>63.24</v>
      </c>
      <c r="R76" s="59">
        <f t="shared" si="12"/>
        <v>56.79</v>
      </c>
      <c r="S76" s="59">
        <f t="shared" si="12"/>
        <v>50.34</v>
      </c>
      <c r="T76" s="59">
        <f t="shared" si="12"/>
        <v>43.9</v>
      </c>
      <c r="U76" s="59">
        <f t="shared" si="12"/>
        <v>37.450000000000003</v>
      </c>
      <c r="W76" s="234">
        <f>N76+ROUND(Basisbedragen!$C$57*$Y$1,2)</f>
        <v>31</v>
      </c>
      <c r="X76" s="59">
        <f>$O76+ROUND(Basisbedragen!$C$57*$Y$1,2)</f>
        <v>33.630000000000003</v>
      </c>
      <c r="AO76" s="83"/>
      <c r="AU76"/>
    </row>
    <row r="77" spans="1:47" ht="15" thickBot="1">
      <c r="A77" s="54">
        <f t="shared" si="14"/>
        <v>69</v>
      </c>
      <c r="C77" s="59">
        <f>IF(ROUND(ROUND(('Loonschijven_Tranches salariale'!$Q76*0.65),4)*$Y$1,2)&lt;C$8,C$8,ROUND(ROUND(('Loonschijven_Tranches salariale'!$Q76*0.65),4)*$Y$1,2))</f>
        <v>78.14</v>
      </c>
      <c r="D77" s="59">
        <f>IF(ROUND(ROUND(('Loonschijven_Tranches salariale'!$Q76*0.6),4)*$Y$1,2)&lt;D$8,D$8,ROUND(ROUND(('Loonschijven_Tranches salariale'!$Q76*0.6),4)*$Y$1,2))</f>
        <v>72.13</v>
      </c>
      <c r="E77" s="59">
        <f>IF(ROUND(ROUND(('Loonschijven_Tranches salariale'!$Q76*0.6),4)*$Y$1,2)&lt;E$8,E$8,IF('Loonschijven_Tranches salariale'!$Q76&lt;Basisbedragen!$C$24,ROUND(ROUND(('Loonschijven_Tranches salariale'!$Q76*0.6),4)*$Y$1,2),ROUND(ROUND((Basisbedragen!$C$24*0.6),4)*$Y$1,2)))</f>
        <v>72.13</v>
      </c>
      <c r="G77" s="59">
        <f>IF(ROUND(ROUND(('Loonschijven_Tranches salariale'!$Q76*0.6),4)*$Y$1,2)&lt;G$8,G$8,IF('Loonschijven_Tranches salariale'!$Q76&lt;Basisbedragen!$C$23,ROUND(ROUND(('Loonschijven_Tranches salariale'!$Q76*0.6),4)*$Y$1,2),ROUND(ROUND((Basisbedragen!$C$23*0.6),4)*$Y$1,2)))</f>
        <v>68.989999999999995</v>
      </c>
      <c r="H77" s="59">
        <f>IF(ROUND(ROUND(('Loonschijven_Tranches salariale'!$Q76*0.4),4)*$Y$1,2)&lt;H$8,H$8,IF('Loonschijven_Tranches salariale'!$Q76&lt;Basisbedragen!$C$23,ROUND(ROUND(('Loonschijven_Tranches salariale'!$Q76*0.4),4)*$Y$1,2),ROUND(ROUND((Basisbedragen!$C$23*0.4),4)*$Y$1,2)))</f>
        <v>45.99</v>
      </c>
      <c r="I77" s="59">
        <f t="shared" si="9"/>
        <v>42</v>
      </c>
      <c r="J77" s="59">
        <f t="shared" si="9"/>
        <v>38.020000000000003</v>
      </c>
      <c r="K77" s="59">
        <f t="shared" si="9"/>
        <v>34.03</v>
      </c>
      <c r="L77" s="59">
        <f t="shared" si="9"/>
        <v>31.1</v>
      </c>
      <c r="N77" s="234">
        <f t="shared" si="15"/>
        <v>26.06</v>
      </c>
      <c r="O77" s="59">
        <f t="shared" si="13"/>
        <v>28.69</v>
      </c>
      <c r="Q77" s="59">
        <f>IF(ROUND(ROUND(('Loonschijven_Tranches salariale'!$Q76*0.55),4)*$Y$1,2)&lt;Q$8,Q$8,IF('Loonschijven_Tranches salariale'!$Q76&lt;Basisbedragen!$C$23,ROUND(ROUND(('Loonschijven_Tranches salariale'!$Q76*0.55),4)*$Y$1,2),ROUND(ROUND((Basisbedragen!$C$23*0.55),4)*$Y$1,2)))</f>
        <v>63.24</v>
      </c>
      <c r="R77" s="59">
        <f t="shared" si="12"/>
        <v>56.79</v>
      </c>
      <c r="S77" s="59">
        <f t="shared" si="12"/>
        <v>50.34</v>
      </c>
      <c r="T77" s="59">
        <f t="shared" si="12"/>
        <v>43.9</v>
      </c>
      <c r="U77" s="59">
        <f t="shared" si="12"/>
        <v>37.450000000000003</v>
      </c>
      <c r="W77" s="234">
        <f>N77+ROUND(Basisbedragen!$C$57*$Y$1,2)</f>
        <v>31</v>
      </c>
      <c r="X77" s="59">
        <f>$O77+ROUND(Basisbedragen!$C$57*$Y$1,2)</f>
        <v>33.630000000000003</v>
      </c>
      <c r="AO77" s="83"/>
      <c r="AU77"/>
    </row>
    <row r="78" spans="1:47" ht="15" thickBot="1">
      <c r="A78" s="54">
        <f t="shared" si="14"/>
        <v>70</v>
      </c>
      <c r="C78" s="59">
        <f>IF(ROUND(ROUND(('Loonschijven_Tranches salariale'!$Q77*0.65),4)*$Y$1,2)&lt;C$8,C$8,ROUND(ROUND(('Loonschijven_Tranches salariale'!$Q77*0.65),4)*$Y$1,2))</f>
        <v>78.78</v>
      </c>
      <c r="D78" s="59">
        <f>IF(ROUND(ROUND(('Loonschijven_Tranches salariale'!$Q77*0.6),4)*$Y$1,2)&lt;D$8,D$8,ROUND(ROUND(('Loonschijven_Tranches salariale'!$Q77*0.6),4)*$Y$1,2))</f>
        <v>72.72</v>
      </c>
      <c r="E78" s="59">
        <f>IF(ROUND(ROUND(('Loonschijven_Tranches salariale'!$Q77*0.6),4)*$Y$1,2)&lt;E$8,E$8,IF('Loonschijven_Tranches salariale'!$Q77&lt;Basisbedragen!$C$24,ROUND(ROUND(('Loonschijven_Tranches salariale'!$Q77*0.6),4)*$Y$1,2),ROUND(ROUND((Basisbedragen!$C$24*0.6),4)*$Y$1,2)))</f>
        <v>72.72</v>
      </c>
      <c r="G78" s="59">
        <f>IF(ROUND(ROUND(('Loonschijven_Tranches salariale'!$Q77*0.6),4)*$Y$1,2)&lt;G$8,G$8,IF('Loonschijven_Tranches salariale'!$Q77&lt;Basisbedragen!$C$23,ROUND(ROUND(('Loonschijven_Tranches salariale'!$Q77*0.6),4)*$Y$1,2),ROUND(ROUND((Basisbedragen!$C$23*0.6),4)*$Y$1,2)))</f>
        <v>68.989999999999995</v>
      </c>
      <c r="H78" s="59">
        <f>IF(ROUND(ROUND(('Loonschijven_Tranches salariale'!$Q77*0.4),4)*$Y$1,2)&lt;H$8,H$8,IF('Loonschijven_Tranches salariale'!$Q77&lt;Basisbedragen!$C$23,ROUND(ROUND(('Loonschijven_Tranches salariale'!$Q77*0.4),4)*$Y$1,2),ROUND(ROUND((Basisbedragen!$C$23*0.4),4)*$Y$1,2)))</f>
        <v>45.99</v>
      </c>
      <c r="I78" s="59">
        <f t="shared" si="9"/>
        <v>42</v>
      </c>
      <c r="J78" s="59">
        <f t="shared" si="9"/>
        <v>38.020000000000003</v>
      </c>
      <c r="K78" s="59">
        <f t="shared" si="9"/>
        <v>34.03</v>
      </c>
      <c r="L78" s="59">
        <f t="shared" si="9"/>
        <v>31.1</v>
      </c>
      <c r="N78" s="234">
        <f t="shared" si="15"/>
        <v>26.06</v>
      </c>
      <c r="O78" s="59">
        <f t="shared" si="13"/>
        <v>28.69</v>
      </c>
      <c r="Q78" s="59">
        <f>IF(ROUND(ROUND(('Loonschijven_Tranches salariale'!$Q77*0.55),4)*$Y$1,2)&lt;Q$8,Q$8,IF('Loonschijven_Tranches salariale'!$Q77&lt;Basisbedragen!$C$23,ROUND(ROUND(('Loonschijven_Tranches salariale'!$Q77*0.55),4)*$Y$1,2),ROUND(ROUND((Basisbedragen!$C$23*0.55),4)*$Y$1,2)))</f>
        <v>63.24</v>
      </c>
      <c r="R78" s="59">
        <f t="shared" si="12"/>
        <v>56.79</v>
      </c>
      <c r="S78" s="59">
        <f t="shared" si="12"/>
        <v>50.34</v>
      </c>
      <c r="T78" s="59">
        <f t="shared" si="12"/>
        <v>43.9</v>
      </c>
      <c r="U78" s="59">
        <f t="shared" si="12"/>
        <v>37.450000000000003</v>
      </c>
      <c r="W78" s="234">
        <f>N78+ROUND(Basisbedragen!$C$57*$Y$1,2)</f>
        <v>31</v>
      </c>
      <c r="X78" s="59">
        <f>$O78+ROUND(Basisbedragen!$C$57*$Y$1,2)</f>
        <v>33.630000000000003</v>
      </c>
      <c r="AO78" s="83"/>
      <c r="AU78"/>
    </row>
    <row r="79" spans="1:47" ht="15" thickBot="1">
      <c r="A79" s="54">
        <f t="shared" si="14"/>
        <v>71</v>
      </c>
      <c r="C79" s="59">
        <f>IF(ROUND(ROUND(('Loonschijven_Tranches salariale'!$Q78*0.65),4)*$Y$1,2)&lt;C$8,C$8,ROUND(ROUND(('Loonschijven_Tranches salariale'!$Q78*0.65),4)*$Y$1,2))</f>
        <v>79.28</v>
      </c>
      <c r="D79" s="59">
        <f>IF(ROUND(ROUND(('Loonschijven_Tranches salariale'!$Q78*0.6),4)*$Y$1,2)&lt;D$8,D$8,ROUND(ROUND(('Loonschijven_Tranches salariale'!$Q78*0.6),4)*$Y$1,2))</f>
        <v>73.180000000000007</v>
      </c>
      <c r="E79" s="59">
        <f>IF(ROUND(ROUND(('Loonschijven_Tranches salariale'!$Q78*0.6),4)*$Y$1,2)&lt;E$8,E$8,IF('Loonschijven_Tranches salariale'!$Q78&lt;Basisbedragen!$C$24,ROUND(ROUND(('Loonschijven_Tranches salariale'!$Q78*0.6),4)*$Y$1,2),ROUND(ROUND((Basisbedragen!$C$24*0.6),4)*$Y$1,2)))</f>
        <v>73.180000000000007</v>
      </c>
      <c r="G79" s="59">
        <f>IF(ROUND(ROUND(('Loonschijven_Tranches salariale'!$Q78*0.6),4)*$Y$1,2)&lt;G$8,G$8,IF('Loonschijven_Tranches salariale'!$Q78&lt;Basisbedragen!$C$23,ROUND(ROUND(('Loonschijven_Tranches salariale'!$Q78*0.6),4)*$Y$1,2),ROUND(ROUND((Basisbedragen!$C$23*0.6),4)*$Y$1,2)))</f>
        <v>68.989999999999995</v>
      </c>
      <c r="H79" s="59">
        <f>IF(ROUND(ROUND(('Loonschijven_Tranches salariale'!$Q78*0.4),4)*$Y$1,2)&lt;H$8,H$8,IF('Loonschijven_Tranches salariale'!$Q78&lt;Basisbedragen!$C$23,ROUND(ROUND(('Loonschijven_Tranches salariale'!$Q78*0.4),4)*$Y$1,2),ROUND(ROUND((Basisbedragen!$C$23*0.4),4)*$Y$1,2)))</f>
        <v>45.99</v>
      </c>
      <c r="I79" s="59">
        <f t="shared" si="9"/>
        <v>42</v>
      </c>
      <c r="J79" s="59">
        <f t="shared" si="9"/>
        <v>38.020000000000003</v>
      </c>
      <c r="K79" s="59">
        <f t="shared" si="9"/>
        <v>34.03</v>
      </c>
      <c r="L79" s="59">
        <f t="shared" si="9"/>
        <v>31.1</v>
      </c>
      <c r="N79" s="234">
        <f t="shared" si="15"/>
        <v>26.06</v>
      </c>
      <c r="O79" s="59">
        <f t="shared" si="13"/>
        <v>28.69</v>
      </c>
      <c r="Q79" s="59">
        <f>IF(ROUND(ROUND(('Loonschijven_Tranches salariale'!$Q78*0.55),4)*$Y$1,2)&lt;Q$8,Q$8,IF('Loonschijven_Tranches salariale'!$Q78&lt;Basisbedragen!$C$23,ROUND(ROUND(('Loonschijven_Tranches salariale'!$Q78*0.55),4)*$Y$1,2),ROUND(ROUND((Basisbedragen!$C$23*0.55),4)*$Y$1,2)))</f>
        <v>63.24</v>
      </c>
      <c r="R79" s="59">
        <f t="shared" si="12"/>
        <v>56.79</v>
      </c>
      <c r="S79" s="59">
        <f t="shared" si="12"/>
        <v>50.34</v>
      </c>
      <c r="T79" s="59">
        <f t="shared" si="12"/>
        <v>43.9</v>
      </c>
      <c r="U79" s="59">
        <f t="shared" si="12"/>
        <v>37.450000000000003</v>
      </c>
      <c r="W79" s="234">
        <f>N79+ROUND(Basisbedragen!$C$57*$Y$1,2)</f>
        <v>31</v>
      </c>
      <c r="X79" s="59">
        <f>$O79+ROUND(Basisbedragen!$C$57*$Y$1,2)</f>
        <v>33.630000000000003</v>
      </c>
      <c r="AO79" s="83"/>
      <c r="AU79"/>
    </row>
    <row r="80" spans="1:47" ht="15" thickBot="1">
      <c r="A80" s="54">
        <f t="shared" si="14"/>
        <v>72</v>
      </c>
      <c r="C80" s="59">
        <f>IF(ROUND(ROUND(('Loonschijven_Tranches salariale'!$Q79*0.65),4)*$Y$1,2)&lt;C$8,C$8,ROUND(ROUND(('Loonschijven_Tranches salariale'!$Q79*0.65),4)*$Y$1,2))</f>
        <v>79.77</v>
      </c>
      <c r="D80" s="59">
        <f>IF(ROUND(ROUND(('Loonschijven_Tranches salariale'!$Q79*0.6),4)*$Y$1,2)&lt;D$8,D$8,ROUND(ROUND(('Loonschijven_Tranches salariale'!$Q79*0.6),4)*$Y$1,2))</f>
        <v>73.63</v>
      </c>
      <c r="E80" s="59">
        <f>IF(ROUND(ROUND(('Loonschijven_Tranches salariale'!$Q79*0.6),4)*$Y$1,2)&lt;E$8,E$8,IF('Loonschijven_Tranches salariale'!$Q79&lt;Basisbedragen!$C$24,ROUND(ROUND(('Loonschijven_Tranches salariale'!$Q79*0.6),4)*$Y$1,2),ROUND(ROUND((Basisbedragen!$C$24*0.6),4)*$Y$1,2)))</f>
        <v>73.63</v>
      </c>
      <c r="G80" s="59">
        <f>IF(ROUND(ROUND(('Loonschijven_Tranches salariale'!$Q79*0.6),4)*$Y$1,2)&lt;G$8,G$8,IF('Loonschijven_Tranches salariale'!$Q79&lt;Basisbedragen!$C$23,ROUND(ROUND(('Loonschijven_Tranches salariale'!$Q79*0.6),4)*$Y$1,2),ROUND(ROUND((Basisbedragen!$C$23*0.6),4)*$Y$1,2)))</f>
        <v>68.989999999999995</v>
      </c>
      <c r="H80" s="59">
        <f>IF(ROUND(ROUND(('Loonschijven_Tranches salariale'!$Q79*0.4),4)*$Y$1,2)&lt;H$8,H$8,IF('Loonschijven_Tranches salariale'!$Q79&lt;Basisbedragen!$C$23,ROUND(ROUND(('Loonschijven_Tranches salariale'!$Q79*0.4),4)*$Y$1,2),ROUND(ROUND((Basisbedragen!$C$23*0.4),4)*$Y$1,2)))</f>
        <v>45.99</v>
      </c>
      <c r="I80" s="59">
        <f t="shared" si="9"/>
        <v>42</v>
      </c>
      <c r="J80" s="59">
        <f t="shared" si="9"/>
        <v>38.020000000000003</v>
      </c>
      <c r="K80" s="59">
        <f t="shared" si="9"/>
        <v>34.03</v>
      </c>
      <c r="L80" s="59">
        <f t="shared" si="9"/>
        <v>31.1</v>
      </c>
      <c r="N80" s="234">
        <f t="shared" si="15"/>
        <v>26.06</v>
      </c>
      <c r="O80" s="59">
        <f t="shared" si="13"/>
        <v>28.69</v>
      </c>
      <c r="Q80" s="59">
        <f>IF(ROUND(ROUND(('Loonschijven_Tranches salariale'!$Q79*0.55),4)*$Y$1,2)&lt;Q$8,Q$8,IF('Loonschijven_Tranches salariale'!$Q79&lt;Basisbedragen!$C$23,ROUND(ROUND(('Loonschijven_Tranches salariale'!$Q79*0.55),4)*$Y$1,2),ROUND(ROUND((Basisbedragen!$C$23*0.55),4)*$Y$1,2)))</f>
        <v>63.24</v>
      </c>
      <c r="R80" s="59">
        <f t="shared" si="12"/>
        <v>56.79</v>
      </c>
      <c r="S80" s="59">
        <f t="shared" si="12"/>
        <v>50.34</v>
      </c>
      <c r="T80" s="59">
        <f t="shared" si="12"/>
        <v>43.9</v>
      </c>
      <c r="U80" s="59">
        <f t="shared" si="12"/>
        <v>37.450000000000003</v>
      </c>
      <c r="W80" s="234">
        <f>N80+ROUND(Basisbedragen!$C$57*$Y$1,2)</f>
        <v>31</v>
      </c>
      <c r="X80" s="59">
        <f>$O80+ROUND(Basisbedragen!$C$57*$Y$1,2)</f>
        <v>33.630000000000003</v>
      </c>
      <c r="AO80" s="83"/>
      <c r="AU80"/>
    </row>
    <row r="81" spans="1:47" ht="15" thickBot="1">
      <c r="A81" s="54">
        <f t="shared" si="14"/>
        <v>73</v>
      </c>
      <c r="C81" s="59">
        <f>IF(ROUND(ROUND(('Loonschijven_Tranches salariale'!$Q80*0.65),4)*$Y$1,2)&lt;C$8,C$8,ROUND(ROUND(('Loonschijven_Tranches salariale'!$Q80*0.65),4)*$Y$1,2))</f>
        <v>80.87</v>
      </c>
      <c r="D81" s="59">
        <f>IF(ROUND(ROUND(('Loonschijven_Tranches salariale'!$Q80*0.6),4)*$Y$1,2)&lt;D$8,D$8,ROUND(ROUND(('Loonschijven_Tranches salariale'!$Q80*0.6),4)*$Y$1,2))</f>
        <v>74.650000000000006</v>
      </c>
      <c r="E81" s="59">
        <f>IF(ROUND(ROUND(('Loonschijven_Tranches salariale'!$Q80*0.6),4)*$Y$1,2)&lt;E$8,E$8,IF('Loonschijven_Tranches salariale'!$Q80&lt;Basisbedragen!$C$24,ROUND(ROUND(('Loonschijven_Tranches salariale'!$Q80*0.6),4)*$Y$1,2),ROUND(ROUND((Basisbedragen!$C$24*0.6),4)*$Y$1,2)))</f>
        <v>73.819999999999993</v>
      </c>
      <c r="G81" s="59">
        <f>IF(ROUND(ROUND(('Loonschijven_Tranches salariale'!$Q80*0.6),4)*$Y$1,2)&lt;G$8,G$8,IF('Loonschijven_Tranches salariale'!$Q80&lt;Basisbedragen!$C$23,ROUND(ROUND(('Loonschijven_Tranches salariale'!$Q80*0.6),4)*$Y$1,2),ROUND(ROUND((Basisbedragen!$C$23*0.6),4)*$Y$1,2)))</f>
        <v>68.989999999999995</v>
      </c>
      <c r="H81" s="59">
        <f>IF(ROUND(ROUND(('Loonschijven_Tranches salariale'!$Q80*0.4),4)*$Y$1,2)&lt;H$8,H$8,IF('Loonschijven_Tranches salariale'!$Q80&lt;Basisbedragen!$C$23,ROUND(ROUND(('Loonschijven_Tranches salariale'!$Q80*0.4),4)*$Y$1,2),ROUND(ROUND((Basisbedragen!$C$23*0.4),4)*$Y$1,2)))</f>
        <v>45.99</v>
      </c>
      <c r="I81" s="59">
        <f t="shared" si="9"/>
        <v>42</v>
      </c>
      <c r="J81" s="59">
        <f t="shared" si="9"/>
        <v>38.020000000000003</v>
      </c>
      <c r="K81" s="59">
        <f t="shared" si="9"/>
        <v>34.03</v>
      </c>
      <c r="L81" s="59">
        <f t="shared" si="9"/>
        <v>31.1</v>
      </c>
      <c r="N81" s="234">
        <f t="shared" si="15"/>
        <v>26.06</v>
      </c>
      <c r="O81" s="59">
        <f t="shared" si="13"/>
        <v>28.69</v>
      </c>
      <c r="Q81" s="59">
        <f>IF(ROUND(ROUND(('Loonschijven_Tranches salariale'!$Q80*0.55),4)*$Y$1,2)&lt;Q$8,Q$8,IF('Loonschijven_Tranches salariale'!$Q80&lt;Basisbedragen!$C$23,ROUND(ROUND(('Loonschijven_Tranches salariale'!$Q80*0.55),4)*$Y$1,2),ROUND(ROUND((Basisbedragen!$C$23*0.55),4)*$Y$1,2)))</f>
        <v>63.24</v>
      </c>
      <c r="R81" s="59">
        <f t="shared" si="12"/>
        <v>56.79</v>
      </c>
      <c r="S81" s="59">
        <f t="shared" si="12"/>
        <v>50.34</v>
      </c>
      <c r="T81" s="59">
        <f t="shared" si="12"/>
        <v>43.9</v>
      </c>
      <c r="U81" s="59">
        <f t="shared" si="12"/>
        <v>37.450000000000003</v>
      </c>
      <c r="W81" s="234">
        <f>N81+ROUND(Basisbedragen!$C$57*$Y$1,2)</f>
        <v>31</v>
      </c>
      <c r="X81" s="59">
        <f>$O81+ROUND(Basisbedragen!$C$57*$Y$1,2)</f>
        <v>33.630000000000003</v>
      </c>
      <c r="AO81" s="83"/>
      <c r="AU81"/>
    </row>
    <row r="82" spans="1:47" ht="15" thickBot="1">
      <c r="A82" s="54">
        <f t="shared" si="14"/>
        <v>74</v>
      </c>
      <c r="C82" s="59">
        <f>IF(ROUND(ROUND(('Loonschijven_Tranches salariale'!$Q81*0.65),4)*$Y$1,2)&lt;C$8,C$8,ROUND(ROUND(('Loonschijven_Tranches salariale'!$Q81*0.65),4)*$Y$1,2))</f>
        <v>81.36</v>
      </c>
      <c r="D82" s="59">
        <f>IF(ROUND(ROUND(('Loonschijven_Tranches salariale'!$Q81*0.6),4)*$Y$1,2)&lt;D$8,D$8,ROUND(ROUND(('Loonschijven_Tranches salariale'!$Q81*0.6),4)*$Y$1,2))</f>
        <v>75.099999999999994</v>
      </c>
      <c r="E82" s="59">
        <f>IF(ROUND(ROUND(('Loonschijven_Tranches salariale'!$Q81*0.6),4)*$Y$1,2)&lt;E$8,E$8,IF('Loonschijven_Tranches salariale'!$Q81&lt;Basisbedragen!$C$24,ROUND(ROUND(('Loonschijven_Tranches salariale'!$Q81*0.6),4)*$Y$1,2),ROUND(ROUND((Basisbedragen!$C$24*0.6),4)*$Y$1,2)))</f>
        <v>73.819999999999993</v>
      </c>
      <c r="G82" s="59">
        <f>IF(ROUND(ROUND(('Loonschijven_Tranches salariale'!$Q81*0.6),4)*$Y$1,2)&lt;G$8,G$8,IF('Loonschijven_Tranches salariale'!$Q81&lt;Basisbedragen!$C$23,ROUND(ROUND(('Loonschijven_Tranches salariale'!$Q81*0.6),4)*$Y$1,2),ROUND(ROUND((Basisbedragen!$C$23*0.6),4)*$Y$1,2)))</f>
        <v>68.989999999999995</v>
      </c>
      <c r="H82" s="59">
        <f>IF(ROUND(ROUND(('Loonschijven_Tranches salariale'!$Q81*0.4),4)*$Y$1,2)&lt;H$8,H$8,IF('Loonschijven_Tranches salariale'!$Q81&lt;Basisbedragen!$C$23,ROUND(ROUND(('Loonschijven_Tranches salariale'!$Q81*0.4),4)*$Y$1,2),ROUND(ROUND((Basisbedragen!$C$23*0.4),4)*$Y$1,2)))</f>
        <v>45.99</v>
      </c>
      <c r="I82" s="59">
        <f t="shared" si="9"/>
        <v>42</v>
      </c>
      <c r="J82" s="59">
        <f t="shared" si="9"/>
        <v>38.020000000000003</v>
      </c>
      <c r="K82" s="59">
        <f t="shared" si="9"/>
        <v>34.03</v>
      </c>
      <c r="L82" s="59">
        <f t="shared" si="9"/>
        <v>31.1</v>
      </c>
      <c r="N82" s="234">
        <f t="shared" si="15"/>
        <v>26.06</v>
      </c>
      <c r="O82" s="59">
        <f t="shared" si="13"/>
        <v>28.69</v>
      </c>
      <c r="Q82" s="59">
        <f>IF(ROUND(ROUND(('Loonschijven_Tranches salariale'!$Q81*0.55),4)*$Y$1,2)&lt;Q$8,Q$8,IF('Loonschijven_Tranches salariale'!$Q81&lt;Basisbedragen!$C$23,ROUND(ROUND(('Loonschijven_Tranches salariale'!$Q81*0.55),4)*$Y$1,2),ROUND(ROUND((Basisbedragen!$C$23*0.55),4)*$Y$1,2)))</f>
        <v>63.24</v>
      </c>
      <c r="R82" s="59">
        <f t="shared" si="12"/>
        <v>56.79</v>
      </c>
      <c r="S82" s="59">
        <f t="shared" si="12"/>
        <v>50.34</v>
      </c>
      <c r="T82" s="59">
        <f t="shared" si="12"/>
        <v>43.9</v>
      </c>
      <c r="U82" s="59">
        <f t="shared" si="12"/>
        <v>37.450000000000003</v>
      </c>
      <c r="W82" s="234">
        <f>N82+ROUND(Basisbedragen!$C$57*$Y$1,2)</f>
        <v>31</v>
      </c>
      <c r="X82" s="59">
        <f>$O82+ROUND(Basisbedragen!$C$57*$Y$1,2)</f>
        <v>33.630000000000003</v>
      </c>
      <c r="AO82" s="83"/>
      <c r="AU82"/>
    </row>
    <row r="83" spans="1:47" ht="15" thickBot="1">
      <c r="A83" s="54">
        <f>A82+1</f>
        <v>75</v>
      </c>
      <c r="C83" s="59">
        <f>IF(ROUND(ROUND(('Loonschijven_Tranches salariale'!$Q82*0.65),4)*$Y$1,2)&lt;C$8,C$8,ROUND(ROUND(('Loonschijven_Tranches salariale'!$Q82*0.65),4)*$Y$1,2))</f>
        <v>82.38</v>
      </c>
      <c r="D83" s="59">
        <f>IF(ROUND(ROUND(('Loonschijven_Tranches salariale'!$Q82*0.6),4)*$Y$1,2)&lt;D$8,D$8,ROUND(ROUND(('Loonschijven_Tranches salariale'!$Q82*0.6),4)*$Y$1,2))</f>
        <v>76.040000000000006</v>
      </c>
      <c r="E83" s="59">
        <f>IF(ROUND(ROUND(('Loonschijven_Tranches salariale'!$Q82*0.6),4)*$Y$1,2)&lt;E$8,E$8,IF('Loonschijven_Tranches salariale'!$Q82&lt;Basisbedragen!$C$24,ROUND(ROUND(('Loonschijven_Tranches salariale'!$Q82*0.6),4)*$Y$1,2),ROUND(ROUND((Basisbedragen!$C$24*0.6),4)*$Y$1,2)))</f>
        <v>73.819999999999993</v>
      </c>
      <c r="G83" s="59">
        <f>IF(ROUND(ROUND(('Loonschijven_Tranches salariale'!$Q82*0.6),4)*$Y$1,2)&lt;G$8,G$8,IF('Loonschijven_Tranches salariale'!$Q82&lt;Basisbedragen!$C$23,ROUND(ROUND(('Loonschijven_Tranches salariale'!$Q82*0.6),4)*$Y$1,2),ROUND(ROUND((Basisbedragen!$C$23*0.6),4)*$Y$1,2)))</f>
        <v>68.989999999999995</v>
      </c>
      <c r="H83" s="59">
        <f>IF(ROUND(ROUND(('Loonschijven_Tranches salariale'!$Q82*0.4),4)*$Y$1,2)&lt;H$8,H$8,IF('Loonschijven_Tranches salariale'!$Q82&lt;Basisbedragen!$C$23,ROUND(ROUND(('Loonschijven_Tranches salariale'!$Q82*0.4),4)*$Y$1,2),ROUND(ROUND((Basisbedragen!$C$23*0.4),4)*$Y$1,2)))</f>
        <v>45.99</v>
      </c>
      <c r="I83" s="59">
        <f t="shared" si="9"/>
        <v>42</v>
      </c>
      <c r="J83" s="59">
        <f t="shared" si="9"/>
        <v>38.020000000000003</v>
      </c>
      <c r="K83" s="59">
        <f t="shared" si="9"/>
        <v>34.03</v>
      </c>
      <c r="L83" s="59">
        <f t="shared" si="9"/>
        <v>31.1</v>
      </c>
      <c r="N83" s="234">
        <f t="shared" si="15"/>
        <v>26.06</v>
      </c>
      <c r="O83" s="59">
        <f t="shared" si="13"/>
        <v>28.69</v>
      </c>
      <c r="Q83" s="59">
        <f>IF(ROUND(ROUND(('Loonschijven_Tranches salariale'!$Q82*0.55),4)*$Y$1,2)&lt;Q$8,Q$8,IF('Loonschijven_Tranches salariale'!$Q82&lt;Basisbedragen!$C$23,ROUND(ROUND(('Loonschijven_Tranches salariale'!$Q82*0.55),4)*$Y$1,2),ROUND(ROUND((Basisbedragen!$C$23*0.55),4)*$Y$1,2)))</f>
        <v>63.24</v>
      </c>
      <c r="R83" s="59">
        <f t="shared" si="12"/>
        <v>56.79</v>
      </c>
      <c r="S83" s="59">
        <f t="shared" si="12"/>
        <v>50.34</v>
      </c>
      <c r="T83" s="59">
        <f t="shared" si="12"/>
        <v>43.9</v>
      </c>
      <c r="U83" s="59">
        <f t="shared" si="12"/>
        <v>37.450000000000003</v>
      </c>
      <c r="W83" s="234">
        <f>N83+ROUND(Basisbedragen!$C$57*$Y$1,2)</f>
        <v>31</v>
      </c>
      <c r="X83" s="59">
        <f>$O83+ROUND(Basisbedragen!$C$57*$Y$1,2)</f>
        <v>33.630000000000003</v>
      </c>
      <c r="AO83" s="83"/>
      <c r="AU83"/>
    </row>
    <row r="84" spans="1:47" ht="15" thickBot="1">
      <c r="A84" s="54">
        <f>A83+1</f>
        <v>76</v>
      </c>
      <c r="C84" s="59">
        <f>IF(ROUND(ROUND(('Loonschijven_Tranches salariale'!$Q83*0.65),4)*$Y$1,2)&lt;C$8,C$8,ROUND(ROUND(('Loonschijven_Tranches salariale'!$Q83*0.65),4)*$Y$1,2))</f>
        <v>83.04</v>
      </c>
      <c r="D84" s="59">
        <f>IF(ROUND(ROUND(('Loonschijven_Tranches salariale'!$Q83*0.6),4)*$Y$1,2)&lt;D$8,D$8,ROUND(ROUND(('Loonschijven_Tranches salariale'!$Q83*0.6),4)*$Y$1,2))</f>
        <v>76.650000000000006</v>
      </c>
      <c r="E84" s="59">
        <f>IF(ROUND(ROUND(('Loonschijven_Tranches salariale'!$Q83*0.6),4)*$Y$1,2)&lt;E$8,E$8,IF('Loonschijven_Tranches salariale'!$Q83&lt;Basisbedragen!$C$24,ROUND(ROUND(('Loonschijven_Tranches salariale'!$Q83*0.6),4)*$Y$1,2),ROUND(ROUND((Basisbedragen!$C$24*0.6),4)*$Y$1,2)))</f>
        <v>73.819999999999993</v>
      </c>
      <c r="G84" s="59">
        <f>IF(ROUND(ROUND(('Loonschijven_Tranches salariale'!$Q83*0.6),4)*$Y$1,2)&lt;G$8,G$8,IF('Loonschijven_Tranches salariale'!$Q83&lt;Basisbedragen!$C$23,ROUND(ROUND(('Loonschijven_Tranches salariale'!$Q83*0.6),4)*$Y$1,2),ROUND(ROUND((Basisbedragen!$C$23*0.6),4)*$Y$1,2)))</f>
        <v>68.989999999999995</v>
      </c>
      <c r="H84" s="59">
        <f>IF(ROUND(ROUND(('Loonschijven_Tranches salariale'!$Q83*0.4),4)*$Y$1,2)&lt;H$8,H$8,IF('Loonschijven_Tranches salariale'!$Q83&lt;Basisbedragen!$C$23,ROUND(ROUND(('Loonschijven_Tranches salariale'!$Q83*0.4),4)*$Y$1,2),ROUND(ROUND((Basisbedragen!$C$23*0.4),4)*$Y$1,2)))</f>
        <v>45.99</v>
      </c>
      <c r="I84" s="59">
        <f t="shared" si="9"/>
        <v>42</v>
      </c>
      <c r="J84" s="59">
        <f t="shared" si="9"/>
        <v>38.020000000000003</v>
      </c>
      <c r="K84" s="59">
        <f t="shared" si="9"/>
        <v>34.03</v>
      </c>
      <c r="L84" s="59">
        <f t="shared" si="9"/>
        <v>31.1</v>
      </c>
      <c r="N84" s="234">
        <f t="shared" si="15"/>
        <v>26.06</v>
      </c>
      <c r="O84" s="59">
        <f t="shared" si="13"/>
        <v>28.69</v>
      </c>
      <c r="Q84" s="59">
        <f>IF(ROUND(ROUND(('Loonschijven_Tranches salariale'!$Q83*0.55),4)*$Y$1,2)&lt;Q$8,Q$8,IF('Loonschijven_Tranches salariale'!$Q83&lt;Basisbedragen!$C$23,ROUND(ROUND(('Loonschijven_Tranches salariale'!$Q83*0.55),4)*$Y$1,2),ROUND(ROUND((Basisbedragen!$C$23*0.55),4)*$Y$1,2)))</f>
        <v>63.24</v>
      </c>
      <c r="R84" s="59">
        <f t="shared" si="12"/>
        <v>56.79</v>
      </c>
      <c r="S84" s="59">
        <f t="shared" si="12"/>
        <v>50.34</v>
      </c>
      <c r="T84" s="59">
        <f t="shared" si="12"/>
        <v>43.9</v>
      </c>
      <c r="U84" s="59">
        <f t="shared" si="12"/>
        <v>37.450000000000003</v>
      </c>
      <c r="W84" s="234">
        <f>N84+ROUND(Basisbedragen!$C$57*$Y$1,2)</f>
        <v>31</v>
      </c>
      <c r="X84" s="59">
        <f>$O84+ROUND(Basisbedragen!$C$57*$Y$1,2)</f>
        <v>33.630000000000003</v>
      </c>
      <c r="AO84" s="83"/>
      <c r="AU84"/>
    </row>
    <row r="85" spans="1:47" ht="15" thickBot="1">
      <c r="A85" s="54">
        <f>A84+1</f>
        <v>77</v>
      </c>
      <c r="C85" s="59">
        <f>IF(ROUND(ROUND(('Loonschijven_Tranches salariale'!$Q84*0.65),4)*$Y$1,2)&lt;C$8,C$8,ROUND(ROUND(('Loonschijven_Tranches salariale'!$Q84*0.65),4)*$Y$1,2))</f>
        <v>83.95</v>
      </c>
      <c r="D85" s="59">
        <f>IF(ROUND(ROUND(('Loonschijven_Tranches salariale'!$Q84*0.6),4)*$Y$1,2)&lt;D$8,D$8,ROUND(ROUND(('Loonschijven_Tranches salariale'!$Q84*0.6),4)*$Y$1,2))</f>
        <v>77.489999999999995</v>
      </c>
      <c r="E85" s="59">
        <f>IF(ROUND(ROUND(('Loonschijven_Tranches salariale'!$Q84*0.6),4)*$Y$1,2)&lt;E$8,E$8,IF('Loonschijven_Tranches salariale'!$Q84&lt;Basisbedragen!$C$24,ROUND(ROUND(('Loonschijven_Tranches salariale'!$Q84*0.6),4)*$Y$1,2),ROUND(ROUND((Basisbedragen!$C$24*0.6),4)*$Y$1,2)))</f>
        <v>73.819999999999993</v>
      </c>
      <c r="G85" s="59">
        <f>IF(ROUND(ROUND(('Loonschijven_Tranches salariale'!$Q84*0.6),4)*$Y$1,2)&lt;G$8,G$8,IF('Loonschijven_Tranches salariale'!$Q84&lt;Basisbedragen!$C$23,ROUND(ROUND(('Loonschijven_Tranches salariale'!$Q84*0.6),4)*$Y$1,2),ROUND(ROUND((Basisbedragen!$C$23*0.6),4)*$Y$1,2)))</f>
        <v>68.989999999999995</v>
      </c>
      <c r="H85" s="59">
        <f>IF(ROUND(ROUND(('Loonschijven_Tranches salariale'!$Q84*0.4),4)*$Y$1,2)&lt;H$8,H$8,IF('Loonschijven_Tranches salariale'!$Q84&lt;Basisbedragen!$C$23,ROUND(ROUND(('Loonschijven_Tranches salariale'!$Q84*0.4),4)*$Y$1,2),ROUND(ROUND((Basisbedragen!$C$23*0.4),4)*$Y$1,2)))</f>
        <v>45.99</v>
      </c>
      <c r="I85" s="59">
        <f t="shared" si="9"/>
        <v>42</v>
      </c>
      <c r="J85" s="59">
        <f>IF(ROUND($H85-(J$6*($H85-O81)/5),2)&lt;J$8,J$8,ROUND($H85-(J$6*($H85-$N$9)/5),2))</f>
        <v>38.020000000000003</v>
      </c>
      <c r="K85" s="59">
        <f t="shared" si="9"/>
        <v>34.03</v>
      </c>
      <c r="L85" s="59">
        <f t="shared" si="9"/>
        <v>31.1</v>
      </c>
      <c r="N85" s="234">
        <f t="shared" si="15"/>
        <v>26.06</v>
      </c>
      <c r="O85" s="59">
        <f t="shared" si="13"/>
        <v>28.69</v>
      </c>
      <c r="Q85" s="59">
        <f>IF(ROUND(ROUND(('Loonschijven_Tranches salariale'!$Q84*0.55),4)*$Y$1,2)&lt;Q$8,Q$8,IF('Loonschijven_Tranches salariale'!$Q84&lt;Basisbedragen!$C$23,ROUND(ROUND(('Loonschijven_Tranches salariale'!$Q84*0.55),4)*$Y$1,2),ROUND(ROUND((Basisbedragen!$C$23*0.55),4)*$Y$1,2)))</f>
        <v>63.24</v>
      </c>
      <c r="R85" s="59">
        <f t="shared" si="12"/>
        <v>56.79</v>
      </c>
      <c r="S85" s="59">
        <f t="shared" si="12"/>
        <v>50.34</v>
      </c>
      <c r="T85" s="59">
        <f t="shared" si="12"/>
        <v>43.9</v>
      </c>
      <c r="U85" s="59">
        <f t="shared" si="12"/>
        <v>37.450000000000003</v>
      </c>
      <c r="W85" s="234">
        <f>N85+ROUND(Basisbedragen!$C$57*$Y$1,2)</f>
        <v>31</v>
      </c>
      <c r="X85" s="59">
        <f>$O85+ROUND(Basisbedragen!$C$57*$Y$1,2)</f>
        <v>33.630000000000003</v>
      </c>
      <c r="AO85" s="83"/>
      <c r="AU85"/>
    </row>
    <row r="86" spans="1:47" ht="15" thickBot="1">
      <c r="A86" s="54">
        <f>A85+1</f>
        <v>78</v>
      </c>
      <c r="B86" s="486"/>
      <c r="C86" s="59">
        <f>IF(ROUND(ROUND(('Loonschijven_Tranches salariale'!$Q85*0.65),4)*$Y$1,2)&lt;C$8,C$8,ROUND(ROUND(('Loonschijven_Tranches salariale'!$Q85*0.65),4)*$Y$1,2))</f>
        <v>84.88</v>
      </c>
      <c r="D86" s="59">
        <f>IF(ROUND(ROUND(('Loonschijven_Tranches salariale'!$Q85*0.6),4)*$Y$1,2)&lt;D$8,D$8,ROUND(ROUND(('Loonschijven_Tranches salariale'!$Q85*0.6),4)*$Y$1,2))</f>
        <v>78.349999999999994</v>
      </c>
      <c r="E86" s="59">
        <f>IF(ROUND(ROUND(('Loonschijven_Tranches salariale'!$Q85*0.6),4)*$Y$1,2)&lt;E$8,E$8,IF('Loonschijven_Tranches salariale'!$Q85&lt;Basisbedragen!$C$24,ROUND(ROUND(('Loonschijven_Tranches salariale'!$Q85*0.6),4)*$Y$1,2),ROUND(ROUND((Basisbedragen!$C$24*0.6),4)*$Y$1,2)))</f>
        <v>73.819999999999993</v>
      </c>
      <c r="F86" s="486"/>
      <c r="G86" s="59">
        <f>IF(ROUND(ROUND(('Loonschijven_Tranches salariale'!$Q85*0.6),4)*$Y$1,2)&lt;G$8,G$8,IF('Loonschijven_Tranches salariale'!$Q85&lt;Basisbedragen!$C$23,ROUND(ROUND(('Loonschijven_Tranches salariale'!$Q85*0.6),4)*$Y$1,2),ROUND(ROUND((Basisbedragen!$C$23*0.6),4)*$Y$1,2)))</f>
        <v>68.989999999999995</v>
      </c>
      <c r="H86" s="59">
        <f>IF(ROUND(ROUND(('Loonschijven_Tranches salariale'!$Q85*0.4),4)*$Y$1,2)&lt;H$8,H$8,IF('Loonschijven_Tranches salariale'!$Q85&lt;Basisbedragen!$C$23,ROUND(ROUND(('Loonschijven_Tranches salariale'!$Q85*0.4),4)*$Y$1,2),ROUND(ROUND((Basisbedragen!$C$23*0.4),4)*$Y$1,2)))</f>
        <v>45.99</v>
      </c>
      <c r="I86" s="59">
        <f t="shared" si="9"/>
        <v>42</v>
      </c>
      <c r="J86" s="59">
        <f t="shared" si="9"/>
        <v>38.020000000000003</v>
      </c>
      <c r="K86" s="59">
        <f t="shared" si="9"/>
        <v>34.03</v>
      </c>
      <c r="L86" s="59">
        <f t="shared" si="9"/>
        <v>31.1</v>
      </c>
      <c r="M86" s="486"/>
      <c r="N86" s="234">
        <f t="shared" si="15"/>
        <v>26.06</v>
      </c>
      <c r="O86" s="59">
        <f t="shared" si="13"/>
        <v>28.69</v>
      </c>
      <c r="P86" s="486"/>
      <c r="Q86" s="59">
        <f>IF(ROUND(ROUND(('Loonschijven_Tranches salariale'!$Q85*0.55),4)*$Y$1,2)&lt;Q$8,Q$8,IF('Loonschijven_Tranches salariale'!$Q85&lt;Basisbedragen!$C$23,ROUND(ROUND(('Loonschijven_Tranches salariale'!$Q85*0.55),4)*$Y$1,2),ROUND(ROUND((Basisbedragen!$C$23*0.55),4)*$Y$1,2)))</f>
        <v>63.24</v>
      </c>
      <c r="R86" s="59">
        <f t="shared" si="12"/>
        <v>56.79</v>
      </c>
      <c r="S86" s="59">
        <f t="shared" si="12"/>
        <v>50.34</v>
      </c>
      <c r="T86" s="59">
        <f t="shared" si="12"/>
        <v>43.9</v>
      </c>
      <c r="U86" s="59">
        <f t="shared" si="12"/>
        <v>37.450000000000003</v>
      </c>
      <c r="V86" s="486"/>
      <c r="W86" s="234">
        <f>N86+ROUND(Basisbedragen!$C$57*$Y$1,2)</f>
        <v>31</v>
      </c>
      <c r="X86" s="59">
        <f>$O86+ROUND(Basisbedragen!$C$57*$Y$1,2)</f>
        <v>33.630000000000003</v>
      </c>
      <c r="AO86" s="83"/>
      <c r="AU86"/>
    </row>
    <row r="87" spans="1:47" ht="15" thickBot="1">
      <c r="A87" s="54">
        <f>A86+1</f>
        <v>79</v>
      </c>
      <c r="B87" s="512"/>
      <c r="C87" s="59">
        <f>IF(ROUND(ROUND(('Loonschijven_Tranches salariale'!$Q86*0.65),4)*$Y$1,2)&lt;C$8,C$8,ROUND(ROUND(('Loonschijven_Tranches salariale'!$Q86*0.65),4)*$Y$1,2))</f>
        <v>85.81</v>
      </c>
      <c r="D87" s="59">
        <f>IF(ROUND(ROUND(('Loonschijven_Tranches salariale'!$Q86*0.6),4)*$Y$1,2)&lt;D$8,D$8,ROUND(ROUND(('Loonschijven_Tranches salariale'!$Q86*0.6),4)*$Y$1,2))</f>
        <v>79.209999999999994</v>
      </c>
      <c r="E87" s="59">
        <f>IF(ROUND(ROUND(('Loonschijven_Tranches salariale'!$Q86*0.6),4)*$Y$1,2)&lt;E$8,E$8,IF('Loonschijven_Tranches salariale'!$Q86&lt;Basisbedragen!$C$24,ROUND(ROUND(('Loonschijven_Tranches salariale'!$Q86*0.6),4)*$Y$1,2),ROUND(ROUND((Basisbedragen!$C$24*0.6),4)*$Y$1,2)))</f>
        <v>73.819999999999993</v>
      </c>
      <c r="F87" s="512"/>
      <c r="G87" s="59">
        <f>IF(ROUND(ROUND(('Loonschijven_Tranches salariale'!$Q86*0.6),4)*$Y$1,2)&lt;G$8,G$8,IF('Loonschijven_Tranches salariale'!$Q86&lt;Basisbedragen!$C$23,ROUND(ROUND(('Loonschijven_Tranches salariale'!$Q86*0.6),4)*$Y$1,2),ROUND(ROUND((Basisbedragen!$C$23*0.6),4)*$Y$1,2)))</f>
        <v>68.989999999999995</v>
      </c>
      <c r="H87" s="59">
        <f>IF(ROUND(ROUND(('Loonschijven_Tranches salariale'!$Q86*0.4),4)*$Y$1,2)&lt;H$8,H$8,IF('Loonschijven_Tranches salariale'!$Q86&lt;Basisbedragen!$C$23,ROUND(ROUND(('Loonschijven_Tranches salariale'!$Q86*0.4),4)*$Y$1,2),ROUND(ROUND((Basisbedragen!$C$23*0.4),4)*$Y$1,2)))</f>
        <v>45.99</v>
      </c>
      <c r="I87" s="59">
        <f t="shared" si="9"/>
        <v>42</v>
      </c>
      <c r="J87" s="59">
        <f t="shared" si="9"/>
        <v>38.020000000000003</v>
      </c>
      <c r="K87" s="59">
        <f t="shared" si="9"/>
        <v>34.03</v>
      </c>
      <c r="L87" s="59">
        <f t="shared" si="9"/>
        <v>31.1</v>
      </c>
      <c r="M87" s="512"/>
      <c r="N87" s="234">
        <f t="shared" si="15"/>
        <v>26.06</v>
      </c>
      <c r="O87" s="59">
        <f t="shared" si="13"/>
        <v>28.69</v>
      </c>
      <c r="P87" s="512"/>
      <c r="Q87" s="59">
        <f>IF(ROUND(ROUND(('Loonschijven_Tranches salariale'!$Q86*0.55),4)*$Y$1,2)&lt;Q$8,Q$8,IF('Loonschijven_Tranches salariale'!$Q86&lt;Basisbedragen!$C$23,ROUND(ROUND(('Loonschijven_Tranches salariale'!$Q86*0.55),4)*$Y$1,2),ROUND(ROUND((Basisbedragen!$C$23*0.55),4)*$Y$1,2)))</f>
        <v>63.24</v>
      </c>
      <c r="R87" s="59">
        <f t="shared" si="12"/>
        <v>56.79</v>
      </c>
      <c r="S87" s="59">
        <f t="shared" si="12"/>
        <v>50.34</v>
      </c>
      <c r="T87" s="59">
        <f t="shared" si="12"/>
        <v>43.9</v>
      </c>
      <c r="U87" s="59">
        <f t="shared" si="12"/>
        <v>37.450000000000003</v>
      </c>
      <c r="V87" s="512"/>
      <c r="W87" s="234">
        <f>N87+ROUND(Basisbedragen!$C$57*$Y$1,2)</f>
        <v>31</v>
      </c>
      <c r="X87" s="59">
        <f>$O87+ROUND(Basisbedragen!$C$57*$Y$1,2)</f>
        <v>33.630000000000003</v>
      </c>
      <c r="AO87" s="83"/>
      <c r="AU87"/>
    </row>
  </sheetData>
  <sheetProtection algorithmName="SHA-512" hashValue="8FH6NEMBydo8l/hKBHsBo7rGjmApRl26JKSDtOHgQdvIxk0hE46S1be926nWXO4Sp6qPJEaVusmMoMujD5JXRQ==" saltValue="ojdKJplsQFDinnXDIU2HzQ==" spinCount="100000" sheet="1" objects="1" scenarios="1"/>
  <mergeCells count="11">
    <mergeCell ref="AA1:AH1"/>
    <mergeCell ref="AK1:AL1"/>
    <mergeCell ref="AF2:AM2"/>
    <mergeCell ref="C4:E4"/>
    <mergeCell ref="H4:L4"/>
    <mergeCell ref="Q3:U3"/>
    <mergeCell ref="Q4:U4"/>
    <mergeCell ref="C3:E3"/>
    <mergeCell ref="G3:L3"/>
    <mergeCell ref="C1:T1"/>
    <mergeCell ref="C2:T2"/>
  </mergeCells>
  <conditionalFormatting sqref="O9:O87 C9:E87 G9:L87 X9:X87 Q9:U87">
    <cfRule type="expression" dxfId="24" priority="4">
      <formula>MOD(INDIRECT(ADDRESS(ROW(),1)),5)=0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&amp;LRijksdienst voor Arbeidsvoorziening&amp;ROffice national de l'Emploi</oddFooter>
  </headerFooter>
  <colBreaks count="2" manualBreakCount="2">
    <brk id="30" max="85" man="1"/>
    <brk id="31" max="8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8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 outlineLevelCol="1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4" max="14" width="8.88671875" hidden="1" customWidth="1" outlineLevel="1"/>
    <col min="15" max="15" width="8.88671875" collapsed="1"/>
    <col min="16" max="16" width="0.6640625" customWidth="1"/>
    <col min="22" max="22" width="0.6640625" customWidth="1"/>
    <col min="23" max="23" width="0" hidden="1" customWidth="1" outlineLevel="1"/>
    <col min="24" max="24" width="9.109375" collapsed="1"/>
    <col min="27" max="27" width="0.6640625" customWidth="1"/>
    <col min="28" max="28" width="8.88671875" customWidth="1"/>
    <col min="29" max="29" width="8.88671875"/>
    <col min="30" max="30" width="0.6640625" customWidth="1"/>
  </cols>
  <sheetData>
    <row r="1" spans="1:48" ht="15" customHeight="1">
      <c r="A1" s="44" t="s">
        <v>33</v>
      </c>
      <c r="B1" s="44"/>
      <c r="C1" s="600" t="s">
        <v>46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1" t="s">
        <v>34</v>
      </c>
      <c r="U1" s="601"/>
      <c r="V1" s="71"/>
      <c r="W1" s="71"/>
      <c r="X1" s="497">
        <f>Basisbedragen!$H$2</f>
        <v>1.7410000000000001</v>
      </c>
      <c r="Z1" s="600"/>
      <c r="AA1" s="600"/>
      <c r="AB1" s="600"/>
      <c r="AC1" s="600"/>
      <c r="AD1" s="600"/>
      <c r="AE1" s="600"/>
      <c r="AF1" s="600"/>
      <c r="AG1" s="600"/>
      <c r="AH1" s="600"/>
      <c r="AL1" s="601"/>
      <c r="AM1" s="601"/>
      <c r="AN1" s="88"/>
      <c r="AO1" s="88"/>
      <c r="AQ1" s="83"/>
    </row>
    <row r="2" spans="1:48" ht="15.6">
      <c r="A2" s="492">
        <f>A!A2</f>
        <v>45689</v>
      </c>
      <c r="B2" s="60"/>
      <c r="C2" s="600" t="s">
        <v>59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111"/>
      <c r="U2" s="111"/>
      <c r="V2" s="45"/>
      <c r="W2" s="45"/>
      <c r="X2" s="45"/>
      <c r="Y2" s="45"/>
      <c r="Z2" s="45"/>
      <c r="AA2" s="45"/>
      <c r="AB2" s="45"/>
      <c r="AE2" s="600"/>
      <c r="AF2" s="600"/>
      <c r="AG2" s="600"/>
      <c r="AH2" s="600"/>
      <c r="AI2" s="600"/>
      <c r="AJ2" s="600"/>
      <c r="AK2" s="600"/>
      <c r="AL2" s="600"/>
      <c r="AV2" s="83"/>
    </row>
    <row r="3" spans="1:48" ht="15" thickBot="1">
      <c r="A3" s="46"/>
      <c r="B3" s="46"/>
      <c r="C3" s="597" t="s">
        <v>47</v>
      </c>
      <c r="D3" s="597"/>
      <c r="E3" s="597"/>
      <c r="F3" s="435"/>
      <c r="G3" s="435"/>
      <c r="H3" s="597" t="s">
        <v>60</v>
      </c>
      <c r="I3" s="597"/>
      <c r="J3" s="597"/>
      <c r="K3" s="597"/>
      <c r="L3" s="597"/>
      <c r="M3" s="435"/>
      <c r="N3" s="435"/>
      <c r="O3" s="435" t="s">
        <v>37</v>
      </c>
      <c r="P3" s="435"/>
      <c r="Q3" s="598" t="s">
        <v>50</v>
      </c>
      <c r="R3" s="598"/>
      <c r="S3" s="598"/>
      <c r="T3" s="598"/>
      <c r="U3" s="598"/>
      <c r="V3" s="435"/>
      <c r="W3" s="435"/>
      <c r="X3" s="435" t="s">
        <v>37</v>
      </c>
      <c r="Y3" s="435"/>
      <c r="AE3" s="41"/>
      <c r="AQ3" s="83"/>
    </row>
    <row r="4" spans="1:48" ht="26.25" customHeight="1" thickBot="1">
      <c r="A4" s="46"/>
      <c r="B4" s="46"/>
      <c r="C4" s="605"/>
      <c r="D4" s="605"/>
      <c r="E4" s="605"/>
      <c r="F4" s="435"/>
      <c r="G4" s="435"/>
      <c r="H4" s="597"/>
      <c r="I4" s="597"/>
      <c r="J4" s="597"/>
      <c r="K4" s="597"/>
      <c r="L4" s="597"/>
      <c r="M4" s="435"/>
      <c r="N4" s="435"/>
      <c r="O4" s="436" t="s">
        <v>49</v>
      </c>
      <c r="P4" s="435"/>
      <c r="Q4" s="602" t="s">
        <v>38</v>
      </c>
      <c r="R4" s="606"/>
      <c r="S4" s="606"/>
      <c r="T4" s="606"/>
      <c r="U4" s="607"/>
      <c r="V4" s="434"/>
      <c r="W4" s="434"/>
      <c r="X4" s="436" t="s">
        <v>51</v>
      </c>
      <c r="Y4" s="434"/>
      <c r="AE4" s="41"/>
      <c r="AQ4" s="83"/>
    </row>
    <row r="5" spans="1:48" s="101" customFormat="1" ht="41.4" thickBot="1">
      <c r="A5" s="91" t="s">
        <v>35</v>
      </c>
      <c r="B5"/>
      <c r="C5" s="55" t="s">
        <v>12</v>
      </c>
      <c r="D5" s="56" t="s">
        <v>11</v>
      </c>
      <c r="E5" s="55" t="s">
        <v>13</v>
      </c>
      <c r="F5"/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M5"/>
      <c r="N5" s="414" t="s">
        <v>316</v>
      </c>
      <c r="O5" s="56" t="s">
        <v>62</v>
      </c>
      <c r="P5"/>
      <c r="Q5" s="56" t="s">
        <v>267</v>
      </c>
      <c r="R5" s="56" t="s">
        <v>39</v>
      </c>
      <c r="S5" s="56" t="s">
        <v>40</v>
      </c>
      <c r="T5" s="56" t="s">
        <v>41</v>
      </c>
      <c r="U5" s="56" t="s">
        <v>42</v>
      </c>
      <c r="V5"/>
      <c r="W5" s="420" t="s">
        <v>319</v>
      </c>
      <c r="X5" s="56" t="s">
        <v>242</v>
      </c>
      <c r="Y5"/>
    </row>
    <row r="6" spans="1:48" ht="15" hidden="1" thickBot="1">
      <c r="A6" s="76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O6" s="419"/>
      <c r="Q6" s="76"/>
      <c r="R6" s="76">
        <v>1</v>
      </c>
      <c r="S6" s="76">
        <v>2</v>
      </c>
      <c r="T6" s="76">
        <v>3</v>
      </c>
      <c r="U6" s="76">
        <v>4</v>
      </c>
      <c r="X6" s="76"/>
    </row>
    <row r="7" spans="1:48" s="82" customFormat="1" ht="15" thickBot="1">
      <c r="A7" s="102"/>
      <c r="B7"/>
      <c r="C7" s="103">
        <v>0.65</v>
      </c>
      <c r="D7" s="104">
        <v>0.6</v>
      </c>
      <c r="E7" s="104">
        <v>0.6</v>
      </c>
      <c r="F7"/>
      <c r="G7" s="104">
        <v>0.6</v>
      </c>
      <c r="H7" s="104">
        <v>0.4</v>
      </c>
      <c r="I7" s="102"/>
      <c r="J7" s="102"/>
      <c r="K7" s="102"/>
      <c r="L7" s="102"/>
      <c r="M7"/>
      <c r="N7"/>
      <c r="O7" s="102"/>
      <c r="P7"/>
      <c r="Q7" s="104">
        <v>0.55000000000000004</v>
      </c>
      <c r="R7" s="102"/>
      <c r="S7" s="102"/>
      <c r="T7" s="102"/>
      <c r="U7" s="102"/>
      <c r="V7"/>
      <c r="W7"/>
      <c r="X7" s="102"/>
      <c r="Y7"/>
    </row>
    <row r="8" spans="1:48" s="86" customFormat="1" ht="15" thickBot="1">
      <c r="A8" s="94" t="s">
        <v>4</v>
      </c>
      <c r="B8"/>
      <c r="C8" s="98">
        <f>ROUND(Basisbedragen!$C$37*$X$1,2)</f>
        <v>53.22</v>
      </c>
      <c r="D8" s="98">
        <f>ROUND(Basisbedragen!$C$38*$X$1,2)</f>
        <v>49.13</v>
      </c>
      <c r="E8" s="98">
        <f>$D$8</f>
        <v>49.13</v>
      </c>
      <c r="F8"/>
      <c r="G8" s="98">
        <f>$D$8</f>
        <v>49.13</v>
      </c>
      <c r="H8" s="98">
        <f>ROUND(Basisbedragen!$C$39*$X$1,2)</f>
        <v>40.72</v>
      </c>
      <c r="I8" s="98"/>
      <c r="J8" s="98"/>
      <c r="K8" s="98"/>
      <c r="L8" s="98"/>
      <c r="M8"/>
      <c r="N8"/>
      <c r="O8" s="105"/>
      <c r="P8"/>
      <c r="Q8" s="98">
        <f>ROUND(Basisbedragen!$C$60*$X$1,2)</f>
        <v>54.55</v>
      </c>
      <c r="R8" s="98">
        <f>MIN(R10:R87)</f>
        <v>51.47</v>
      </c>
      <c r="S8" s="98">
        <f t="shared" ref="S8:U8" si="0">MIN(S10:S87)</f>
        <v>48.4</v>
      </c>
      <c r="T8" s="98">
        <f t="shared" si="0"/>
        <v>45.32</v>
      </c>
      <c r="U8" s="98">
        <f t="shared" si="0"/>
        <v>44.69</v>
      </c>
      <c r="V8"/>
      <c r="W8"/>
      <c r="X8" s="105"/>
      <c r="Y8"/>
    </row>
    <row r="9" spans="1:48" s="86" customFormat="1" ht="15" thickBot="1">
      <c r="A9" s="94" t="s">
        <v>61</v>
      </c>
      <c r="B9"/>
      <c r="C9" s="98"/>
      <c r="D9" s="98"/>
      <c r="E9" s="98"/>
      <c r="F9"/>
      <c r="G9" s="98"/>
      <c r="H9" s="98"/>
      <c r="I9" s="98">
        <f>ROUND(Basisbedragen!$C$30*$X$1,2)</f>
        <v>39.75</v>
      </c>
      <c r="J9" s="98">
        <f>$I$9</f>
        <v>39.75</v>
      </c>
      <c r="K9" s="98">
        <f>$I$9</f>
        <v>39.75</v>
      </c>
      <c r="L9" s="98">
        <f>$I$9</f>
        <v>39.75</v>
      </c>
      <c r="M9"/>
      <c r="N9"/>
      <c r="O9" s="105"/>
      <c r="P9"/>
      <c r="Q9" s="98"/>
      <c r="R9" s="98"/>
      <c r="S9" s="98"/>
      <c r="T9" s="98"/>
      <c r="U9" s="98"/>
      <c r="V9"/>
      <c r="W9"/>
      <c r="X9" s="105"/>
      <c r="Y9"/>
    </row>
    <row r="10" spans="1:48" ht="15" hidden="1" outlineLevel="1" thickBot="1">
      <c r="A10" s="364">
        <v>1</v>
      </c>
      <c r="C10" s="316">
        <f>IF(ROUND(ROUND(('Loonschijven_Tranches salariale'!$Q8*0.65),4)*$X$1,2)&lt;C$8,C$8,ROUND(ROUND(('Loonschijven_Tranches salariale'!$Q8*0.65),4)*$X$1,2))</f>
        <v>53.22</v>
      </c>
      <c r="D10" s="316">
        <f>IF(ROUND(ROUND(('Loonschijven_Tranches salariale'!$Q8*0.6),4)*$X$1,2)&lt;D$8,D$8,ROUND(ROUND(('Loonschijven_Tranches salariale'!$Q8*0.6),4)*$X$1,2))</f>
        <v>49.13</v>
      </c>
      <c r="E10" s="316">
        <f>IF(ROUND(ROUND(('Loonschijven_Tranches salariale'!$Q8*0.6),4)*$X$1,2)&lt;E$8,E$8,IF('Loonschijven_Tranches salariale'!$Q8&lt;Basisbedragen!$C$24,ROUND(ROUND(('Loonschijven_Tranches salariale'!$Q8*0.6),4)*$X$1,2),ROUND(ROUND((Basisbedragen!$C$24*0.6),4)*$X$1,2)))</f>
        <v>49.13</v>
      </c>
      <c r="F10" s="161"/>
      <c r="G10" s="316">
        <f>IF(ROUND(ROUND(('Loonschijven_Tranches salariale'!$Q8*0.6),4)*$X$1,2)&lt;G$8,G$8,IF('Loonschijven_Tranches salariale'!$Q8&lt;Basisbedragen!$C$23,ROUND(ROUND(('Loonschijven_Tranches salariale'!$Q8*0.6),4)*$X$1,2),ROUND(ROUND((Basisbedragen!$C$23*0.6),4)*$X$1,2)))</f>
        <v>49.13</v>
      </c>
      <c r="H10" s="316">
        <f>IF(ROUND(ROUND(('Loonschijven_Tranches salariale'!$Q8*0.4),4)*$X$1,2)&lt;H$8,H$8,IF('Loonschijven_Tranches salariale'!$Q8&lt;Basisbedragen!$C$23,ROUND(ROUND(('Loonschijven_Tranches salariale'!$Q8*0.4),4)*$X$1,2),ROUND(ROUND((Basisbedragen!$C$23*0.4),4)*$X$1,2)))</f>
        <v>40.72</v>
      </c>
      <c r="I10" s="316">
        <f>IF(ROUND($H10-(I$6*($H10-$N$10)/5),2)&lt;I$9,I$9,ROUND($H10-(I$6*($H10-$N$10)/5),2))</f>
        <v>39.75</v>
      </c>
      <c r="J10" s="316">
        <f t="shared" ref="J10:L25" si="1">IF(ROUND($H10-(J$6*($H10-$N$10)/5),2)&lt;J$9,J$9,ROUND($H10-(J$6*($H10-$N$10)/5),2))</f>
        <v>39.75</v>
      </c>
      <c r="K10" s="316">
        <f t="shared" si="1"/>
        <v>39.75</v>
      </c>
      <c r="L10" s="316">
        <f t="shared" si="1"/>
        <v>39.75</v>
      </c>
      <c r="M10" s="161"/>
      <c r="N10" s="234">
        <f>ROUND(Basisbedragen!$C$43*$X$1,2)</f>
        <v>34.229999999999997</v>
      </c>
      <c r="O10" s="316">
        <f>$I$9</f>
        <v>39.75</v>
      </c>
      <c r="P10" s="161"/>
      <c r="Q10" s="316">
        <f>IF(ROUND(ROUND(('Loonschijven_Tranches salariale'!$Q8*0.55),4)*$X$1,2)&lt;Q$8,Q$8,IF('Loonschijven_Tranches salariale'!$Q8&lt;Basisbedragen!$C$23,ROUND(ROUND(('Loonschijven_Tranches salariale'!$Q8*0.55),4)*$X$1,2),ROUND(ROUND((Basisbedragen!$C$23*0.55),4)*$X$1,2)))</f>
        <v>54.55</v>
      </c>
      <c r="R10" s="316">
        <f t="shared" ref="R10:U29" si="2">IF(ROUND($Q10-(R$6*($Q10-$W10)/5),2)&lt;$X10,$X10,ROUND($Q10-(R$6*($Q10-$W10)/5),2))</f>
        <v>51.47</v>
      </c>
      <c r="S10" s="316">
        <f t="shared" si="2"/>
        <v>48.4</v>
      </c>
      <c r="T10" s="316">
        <f t="shared" si="2"/>
        <v>45.32</v>
      </c>
      <c r="U10" s="316">
        <f t="shared" si="2"/>
        <v>44.69</v>
      </c>
      <c r="V10" s="161"/>
      <c r="W10" s="234">
        <f>N10+ROUND(Basisbedragen!$C$57*$X$1,2)</f>
        <v>39.169999999999995</v>
      </c>
      <c r="X10" s="316">
        <f>O10+ROUND(Basisbedragen!$C$57*$X$1,2)</f>
        <v>44.69</v>
      </c>
      <c r="Y10" s="161"/>
    </row>
    <row r="11" spans="1:48" ht="15" hidden="1" outlineLevel="1" thickBot="1">
      <c r="A11" s="364">
        <f>A10+1</f>
        <v>2</v>
      </c>
      <c r="C11" s="316">
        <f>IF(ROUND(ROUND(('Loonschijven_Tranches salariale'!$Q9*0.65),4)*$X$1,2)&lt;C$8,C$8,ROUND(ROUND(('Loonschijven_Tranches salariale'!$Q9*0.65),4)*$X$1,2))</f>
        <v>53.22</v>
      </c>
      <c r="D11" s="316">
        <f>IF(ROUND(ROUND(('Loonschijven_Tranches salariale'!$Q9*0.6),4)*$X$1,2)&lt;D$8,D$8,ROUND(ROUND(('Loonschijven_Tranches salariale'!$Q9*0.6),4)*$X$1,2))</f>
        <v>49.13</v>
      </c>
      <c r="E11" s="316">
        <f>IF(ROUND(ROUND(('Loonschijven_Tranches salariale'!$Q9*0.6),4)*$X$1,2)&lt;E$8,E$8,IF('Loonschijven_Tranches salariale'!$Q9&lt;Basisbedragen!$C$24,ROUND(ROUND(('Loonschijven_Tranches salariale'!$Q9*0.6),4)*$X$1,2),ROUND(ROUND((Basisbedragen!$C$24*0.6),4)*$X$1,2)))</f>
        <v>49.13</v>
      </c>
      <c r="F11" s="161"/>
      <c r="G11" s="316">
        <f>IF(ROUND(ROUND(('Loonschijven_Tranches salariale'!$Q9*0.6),4)*$X$1,2)&lt;G$8,G$8,IF('Loonschijven_Tranches salariale'!$Q9&lt;Basisbedragen!$C$23,ROUND(ROUND(('Loonschijven_Tranches salariale'!$Q9*0.6),4)*$X$1,2),ROUND(ROUND((Basisbedragen!$C$23*0.6),4)*$X$1,2)))</f>
        <v>49.13</v>
      </c>
      <c r="H11" s="316">
        <f>IF(ROUND(ROUND(('Loonschijven_Tranches salariale'!$Q9*0.4),4)*$X$1,2)&lt;H$8,H$8,IF('Loonschijven_Tranches salariale'!$Q9&lt;Basisbedragen!$C$23,ROUND(ROUND(('Loonschijven_Tranches salariale'!$Q9*0.4),4)*$X$1,2),ROUND(ROUND((Basisbedragen!$C$23*0.4),4)*$X$1,2)))</f>
        <v>40.72</v>
      </c>
      <c r="I11" s="316">
        <f t="shared" ref="I11:L42" si="3">IF(ROUND($H11-(I$6*($H11-$N$10)/5),2)&lt;I$9,I$9,ROUND($H11-(I$6*($H11-$N$10)/5),2))</f>
        <v>39.75</v>
      </c>
      <c r="J11" s="316">
        <f t="shared" si="1"/>
        <v>39.75</v>
      </c>
      <c r="K11" s="316">
        <f t="shared" si="1"/>
        <v>39.75</v>
      </c>
      <c r="L11" s="316">
        <f t="shared" si="1"/>
        <v>39.75</v>
      </c>
      <c r="M11" s="161"/>
      <c r="N11" s="234">
        <f>$N$10</f>
        <v>34.229999999999997</v>
      </c>
      <c r="O11" s="316">
        <f t="shared" ref="O11:O74" si="4">$I$9</f>
        <v>39.75</v>
      </c>
      <c r="P11" s="161"/>
      <c r="Q11" s="316">
        <f>IF(ROUND(ROUND(('Loonschijven_Tranches salariale'!$Q9*0.55),4)*$X$1,2)&lt;Q$8,Q$8,IF('Loonschijven_Tranches salariale'!$Q9&lt;Basisbedragen!$C$23,ROUND(ROUND(('Loonschijven_Tranches salariale'!$Q9*0.55),4)*$X$1,2),ROUND(ROUND((Basisbedragen!$C$23*0.55),4)*$X$1,2)))</f>
        <v>54.55</v>
      </c>
      <c r="R11" s="316">
        <f t="shared" si="2"/>
        <v>51.47</v>
      </c>
      <c r="S11" s="316">
        <f t="shared" si="2"/>
        <v>48.4</v>
      </c>
      <c r="T11" s="316">
        <f t="shared" si="2"/>
        <v>45.32</v>
      </c>
      <c r="U11" s="316">
        <f t="shared" si="2"/>
        <v>44.69</v>
      </c>
      <c r="V11" s="161"/>
      <c r="W11" s="234">
        <f>N11+ROUND(Basisbedragen!$C$57*$X$1,2)</f>
        <v>39.169999999999995</v>
      </c>
      <c r="X11" s="316">
        <f>O11+ROUND(Basisbedragen!$C$57*$X$1,2)</f>
        <v>44.69</v>
      </c>
      <c r="Y11" s="161"/>
    </row>
    <row r="12" spans="1:48" ht="15" hidden="1" outlineLevel="1" thickBot="1">
      <c r="A12" s="364">
        <f t="shared" ref="A12:A75" si="5">A11+1</f>
        <v>3</v>
      </c>
      <c r="C12" s="316">
        <f>IF(ROUND(ROUND(('Loonschijven_Tranches salariale'!$Q10*0.65),4)*$X$1,2)&lt;C$8,C$8,ROUND(ROUND(('Loonschijven_Tranches salariale'!$Q10*0.65),4)*$X$1,2))</f>
        <v>53.22</v>
      </c>
      <c r="D12" s="316">
        <f>IF(ROUND(ROUND(('Loonschijven_Tranches salariale'!$Q10*0.6),4)*$X$1,2)&lt;D$8,D$8,ROUND(ROUND(('Loonschijven_Tranches salariale'!$Q10*0.6),4)*$X$1,2))</f>
        <v>49.13</v>
      </c>
      <c r="E12" s="316">
        <f>IF(ROUND(ROUND(('Loonschijven_Tranches salariale'!$Q10*0.6),4)*$X$1,2)&lt;E$8,E$8,IF('Loonschijven_Tranches salariale'!$Q10&lt;Basisbedragen!$C$24,ROUND(ROUND(('Loonschijven_Tranches salariale'!$Q10*0.6),4)*$X$1,2),ROUND(ROUND((Basisbedragen!$C$24*0.6),4)*$X$1,2)))</f>
        <v>49.13</v>
      </c>
      <c r="F12" s="161"/>
      <c r="G12" s="316">
        <f>IF(ROUND(ROUND(('Loonschijven_Tranches salariale'!$Q10*0.6),4)*$X$1,2)&lt;G$8,G$8,IF('Loonschijven_Tranches salariale'!$Q10&lt;Basisbedragen!$C$23,ROUND(ROUND(('Loonschijven_Tranches salariale'!$Q10*0.6),4)*$X$1,2),ROUND(ROUND((Basisbedragen!$C$23*0.6),4)*$X$1,2)))</f>
        <v>49.13</v>
      </c>
      <c r="H12" s="316">
        <f>IF(ROUND(ROUND(('Loonschijven_Tranches salariale'!$Q10*0.4),4)*$X$1,2)&lt;H$8,H$8,IF('Loonschijven_Tranches salariale'!$Q10&lt;Basisbedragen!$C$23,ROUND(ROUND(('Loonschijven_Tranches salariale'!$Q10*0.4),4)*$X$1,2),ROUND(ROUND((Basisbedragen!$C$23*0.4),4)*$X$1,2)))</f>
        <v>40.72</v>
      </c>
      <c r="I12" s="316">
        <f t="shared" si="3"/>
        <v>39.75</v>
      </c>
      <c r="J12" s="316">
        <f t="shared" si="1"/>
        <v>39.75</v>
      </c>
      <c r="K12" s="316">
        <f t="shared" si="1"/>
        <v>39.75</v>
      </c>
      <c r="L12" s="316">
        <f t="shared" si="1"/>
        <v>39.75</v>
      </c>
      <c r="M12" s="161"/>
      <c r="N12" s="234">
        <f t="shared" ref="N12:N75" si="6">$N$10</f>
        <v>34.229999999999997</v>
      </c>
      <c r="O12" s="316">
        <f t="shared" si="4"/>
        <v>39.75</v>
      </c>
      <c r="P12" s="161"/>
      <c r="Q12" s="316">
        <f>IF(ROUND(ROUND(('Loonschijven_Tranches salariale'!$Q10*0.55),4)*$X$1,2)&lt;Q$8,Q$8,IF('Loonschijven_Tranches salariale'!$Q10&lt;Basisbedragen!$C$23,ROUND(ROUND(('Loonschijven_Tranches salariale'!$Q10*0.55),4)*$X$1,2),ROUND(ROUND((Basisbedragen!$C$23*0.55),4)*$X$1,2)))</f>
        <v>54.55</v>
      </c>
      <c r="R12" s="316">
        <f t="shared" si="2"/>
        <v>51.47</v>
      </c>
      <c r="S12" s="316">
        <f t="shared" si="2"/>
        <v>48.4</v>
      </c>
      <c r="T12" s="316">
        <f t="shared" si="2"/>
        <v>45.32</v>
      </c>
      <c r="U12" s="316">
        <f t="shared" si="2"/>
        <v>44.69</v>
      </c>
      <c r="V12" s="161"/>
      <c r="W12" s="234">
        <f>N12+ROUND(Basisbedragen!$C$57*$X$1,2)</f>
        <v>39.169999999999995</v>
      </c>
      <c r="X12" s="316">
        <f>O12+ROUND(Basisbedragen!$C$57*$X$1,2)</f>
        <v>44.69</v>
      </c>
      <c r="Y12" s="161"/>
    </row>
    <row r="13" spans="1:48" ht="15" hidden="1" outlineLevel="1" thickBot="1">
      <c r="A13" s="364">
        <f t="shared" si="5"/>
        <v>4</v>
      </c>
      <c r="C13" s="316">
        <f>IF(ROUND(ROUND(('Loonschijven_Tranches salariale'!$Q11*0.65),4)*$X$1,2)&lt;C$8,C$8,ROUND(ROUND(('Loonschijven_Tranches salariale'!$Q11*0.65),4)*$X$1,2))</f>
        <v>53.22</v>
      </c>
      <c r="D13" s="316">
        <f>IF(ROUND(ROUND(('Loonschijven_Tranches salariale'!$Q11*0.6),4)*$X$1,2)&lt;D$8,D$8,ROUND(ROUND(('Loonschijven_Tranches salariale'!$Q11*0.6),4)*$X$1,2))</f>
        <v>49.13</v>
      </c>
      <c r="E13" s="316">
        <f>IF(ROUND(ROUND(('Loonschijven_Tranches salariale'!$Q11*0.6),4)*$X$1,2)&lt;E$8,E$8,IF('Loonschijven_Tranches salariale'!$Q11&lt;Basisbedragen!$C$24,ROUND(ROUND(('Loonschijven_Tranches salariale'!$Q11*0.6),4)*$X$1,2),ROUND(ROUND((Basisbedragen!$C$24*0.6),4)*$X$1,2)))</f>
        <v>49.13</v>
      </c>
      <c r="F13" s="161"/>
      <c r="G13" s="316">
        <f>IF(ROUND(ROUND(('Loonschijven_Tranches salariale'!$Q11*0.6),4)*$X$1,2)&lt;G$8,G$8,IF('Loonschijven_Tranches salariale'!$Q11&lt;Basisbedragen!$C$23,ROUND(ROUND(('Loonschijven_Tranches salariale'!$Q11*0.6),4)*$X$1,2),ROUND(ROUND((Basisbedragen!$C$23*0.6),4)*$X$1,2)))</f>
        <v>49.13</v>
      </c>
      <c r="H13" s="316">
        <f>IF(ROUND(ROUND(('Loonschijven_Tranches salariale'!$Q11*0.4),4)*$X$1,2)&lt;H$8,H$8,IF('Loonschijven_Tranches salariale'!$Q11&lt;Basisbedragen!$C$23,ROUND(ROUND(('Loonschijven_Tranches salariale'!$Q11*0.4),4)*$X$1,2),ROUND(ROUND((Basisbedragen!$C$23*0.4),4)*$X$1,2)))</f>
        <v>40.72</v>
      </c>
      <c r="I13" s="316">
        <f t="shared" si="3"/>
        <v>39.75</v>
      </c>
      <c r="J13" s="316">
        <f t="shared" si="1"/>
        <v>39.75</v>
      </c>
      <c r="K13" s="316">
        <f t="shared" si="1"/>
        <v>39.75</v>
      </c>
      <c r="L13" s="316">
        <f t="shared" si="1"/>
        <v>39.75</v>
      </c>
      <c r="M13" s="161"/>
      <c r="N13" s="234">
        <f t="shared" si="6"/>
        <v>34.229999999999997</v>
      </c>
      <c r="O13" s="316">
        <f t="shared" si="4"/>
        <v>39.75</v>
      </c>
      <c r="P13" s="161"/>
      <c r="Q13" s="316">
        <f>IF(ROUND(ROUND(('Loonschijven_Tranches salariale'!$Q11*0.55),4)*$X$1,2)&lt;Q$8,Q$8,IF('Loonschijven_Tranches salariale'!$Q11&lt;Basisbedragen!$C$23,ROUND(ROUND(('Loonschijven_Tranches salariale'!$Q11*0.55),4)*$X$1,2),ROUND(ROUND((Basisbedragen!$C$23*0.55),4)*$X$1,2)))</f>
        <v>54.55</v>
      </c>
      <c r="R13" s="316">
        <f t="shared" si="2"/>
        <v>51.47</v>
      </c>
      <c r="S13" s="316">
        <f t="shared" si="2"/>
        <v>48.4</v>
      </c>
      <c r="T13" s="316">
        <f t="shared" si="2"/>
        <v>45.32</v>
      </c>
      <c r="U13" s="316">
        <f t="shared" si="2"/>
        <v>44.69</v>
      </c>
      <c r="V13" s="161"/>
      <c r="W13" s="234">
        <f>N13+ROUND(Basisbedragen!$C$57*$X$1,2)</f>
        <v>39.169999999999995</v>
      </c>
      <c r="X13" s="316">
        <f>O13+ROUND(Basisbedragen!$C$57*$X$1,2)</f>
        <v>44.69</v>
      </c>
      <c r="Y13" s="161"/>
    </row>
    <row r="14" spans="1:48" ht="15" hidden="1" outlineLevel="1" thickBot="1">
      <c r="A14" s="364">
        <f t="shared" si="5"/>
        <v>5</v>
      </c>
      <c r="C14" s="316">
        <f>IF(ROUND(ROUND(('Loonschijven_Tranches salariale'!$Q12*0.65),4)*$X$1,2)&lt;C$8,C$8,ROUND(ROUND(('Loonschijven_Tranches salariale'!$Q12*0.65),4)*$X$1,2))</f>
        <v>53.22</v>
      </c>
      <c r="D14" s="316">
        <f>IF(ROUND(ROUND(('Loonschijven_Tranches salariale'!$Q12*0.6),4)*$X$1,2)&lt;D$8,D$8,ROUND(ROUND(('Loonschijven_Tranches salariale'!$Q12*0.6),4)*$X$1,2))</f>
        <v>49.13</v>
      </c>
      <c r="E14" s="316">
        <f>IF(ROUND(ROUND(('Loonschijven_Tranches salariale'!$Q12*0.6),4)*$X$1,2)&lt;E$8,E$8,IF('Loonschijven_Tranches salariale'!$Q12&lt;Basisbedragen!$C$24,ROUND(ROUND(('Loonschijven_Tranches salariale'!$Q12*0.6),4)*$X$1,2),ROUND(ROUND((Basisbedragen!$C$24*0.6),4)*$X$1,2)))</f>
        <v>49.13</v>
      </c>
      <c r="F14" s="161"/>
      <c r="G14" s="316">
        <f>IF(ROUND(ROUND(('Loonschijven_Tranches salariale'!$Q12*0.6),4)*$X$1,2)&lt;G$8,G$8,IF('Loonschijven_Tranches salariale'!$Q12&lt;Basisbedragen!$C$23,ROUND(ROUND(('Loonschijven_Tranches salariale'!$Q12*0.6),4)*$X$1,2),ROUND(ROUND((Basisbedragen!$C$23*0.6),4)*$X$1,2)))</f>
        <v>49.13</v>
      </c>
      <c r="H14" s="316">
        <f>IF(ROUND(ROUND(('Loonschijven_Tranches salariale'!$Q12*0.4),4)*$X$1,2)&lt;H$8,H$8,IF('Loonschijven_Tranches salariale'!$Q12&lt;Basisbedragen!$C$23,ROUND(ROUND(('Loonschijven_Tranches salariale'!$Q12*0.4),4)*$X$1,2),ROUND(ROUND((Basisbedragen!$C$23*0.4),4)*$X$1,2)))</f>
        <v>40.72</v>
      </c>
      <c r="I14" s="316">
        <f t="shared" si="3"/>
        <v>39.75</v>
      </c>
      <c r="J14" s="316">
        <f t="shared" si="1"/>
        <v>39.75</v>
      </c>
      <c r="K14" s="316">
        <f t="shared" si="1"/>
        <v>39.75</v>
      </c>
      <c r="L14" s="316">
        <f t="shared" si="1"/>
        <v>39.75</v>
      </c>
      <c r="M14" s="161"/>
      <c r="N14" s="234">
        <f t="shared" si="6"/>
        <v>34.229999999999997</v>
      </c>
      <c r="O14" s="316">
        <f t="shared" si="4"/>
        <v>39.75</v>
      </c>
      <c r="P14" s="161"/>
      <c r="Q14" s="316">
        <f>IF(ROUND(ROUND(('Loonschijven_Tranches salariale'!$Q12*0.55),4)*$X$1,2)&lt;Q$8,Q$8,IF('Loonschijven_Tranches salariale'!$Q12&lt;Basisbedragen!$C$23,ROUND(ROUND(('Loonschijven_Tranches salariale'!$Q12*0.55),4)*$X$1,2),ROUND(ROUND((Basisbedragen!$C$23*0.55),4)*$X$1,2)))</f>
        <v>54.55</v>
      </c>
      <c r="R14" s="316">
        <f t="shared" si="2"/>
        <v>51.47</v>
      </c>
      <c r="S14" s="316">
        <f t="shared" si="2"/>
        <v>48.4</v>
      </c>
      <c r="T14" s="316">
        <f t="shared" si="2"/>
        <v>45.32</v>
      </c>
      <c r="U14" s="316">
        <f t="shared" si="2"/>
        <v>44.69</v>
      </c>
      <c r="V14" s="161"/>
      <c r="W14" s="234">
        <f>N14+ROUND(Basisbedragen!$C$57*$X$1,2)</f>
        <v>39.169999999999995</v>
      </c>
      <c r="X14" s="316">
        <f>O14+ROUND(Basisbedragen!$C$57*$X$1,2)</f>
        <v>44.69</v>
      </c>
      <c r="Y14" s="161"/>
    </row>
    <row r="15" spans="1:48" ht="15" hidden="1" outlineLevel="1" thickBot="1">
      <c r="A15" s="364">
        <f t="shared" si="5"/>
        <v>6</v>
      </c>
      <c r="C15" s="316">
        <f>IF(ROUND(ROUND(('Loonschijven_Tranches salariale'!$Q13*0.65),4)*$X$1,2)&lt;C$8,C$8,ROUND(ROUND(('Loonschijven_Tranches salariale'!$Q13*0.65),4)*$X$1,2))</f>
        <v>53.22</v>
      </c>
      <c r="D15" s="316">
        <f>IF(ROUND(ROUND(('Loonschijven_Tranches salariale'!$Q13*0.6),4)*$X$1,2)&lt;D$8,D$8,ROUND(ROUND(('Loonschijven_Tranches salariale'!$Q13*0.6),4)*$X$1,2))</f>
        <v>49.13</v>
      </c>
      <c r="E15" s="316">
        <f>IF(ROUND(ROUND(('Loonschijven_Tranches salariale'!$Q13*0.6),4)*$X$1,2)&lt;E$8,E$8,IF('Loonschijven_Tranches salariale'!$Q13&lt;Basisbedragen!$C$24,ROUND(ROUND(('Loonschijven_Tranches salariale'!$Q13*0.6),4)*$X$1,2),ROUND(ROUND((Basisbedragen!$C$24*0.6),4)*$X$1,2)))</f>
        <v>49.13</v>
      </c>
      <c r="F15" s="161"/>
      <c r="G15" s="316">
        <f>IF(ROUND(ROUND(('Loonschijven_Tranches salariale'!$Q13*0.6),4)*$X$1,2)&lt;G$8,G$8,IF('Loonschijven_Tranches salariale'!$Q13&lt;Basisbedragen!$C$23,ROUND(ROUND(('Loonschijven_Tranches salariale'!$Q13*0.6),4)*$X$1,2),ROUND(ROUND((Basisbedragen!$C$23*0.6),4)*$X$1,2)))</f>
        <v>49.13</v>
      </c>
      <c r="H15" s="316">
        <f>IF(ROUND(ROUND(('Loonschijven_Tranches salariale'!$Q13*0.4),4)*$X$1,2)&lt;H$8,H$8,IF('Loonschijven_Tranches salariale'!$Q13&lt;Basisbedragen!$C$23,ROUND(ROUND(('Loonschijven_Tranches salariale'!$Q13*0.4),4)*$X$1,2),ROUND(ROUND((Basisbedragen!$C$23*0.4),4)*$X$1,2)))</f>
        <v>40.72</v>
      </c>
      <c r="I15" s="316">
        <f t="shared" si="3"/>
        <v>39.75</v>
      </c>
      <c r="J15" s="316">
        <f t="shared" si="1"/>
        <v>39.75</v>
      </c>
      <c r="K15" s="316">
        <f t="shared" si="1"/>
        <v>39.75</v>
      </c>
      <c r="L15" s="316">
        <f t="shared" si="1"/>
        <v>39.75</v>
      </c>
      <c r="M15" s="161"/>
      <c r="N15" s="234">
        <f t="shared" si="6"/>
        <v>34.229999999999997</v>
      </c>
      <c r="O15" s="316">
        <f t="shared" si="4"/>
        <v>39.75</v>
      </c>
      <c r="P15" s="161"/>
      <c r="Q15" s="316">
        <f>IF(ROUND(ROUND(('Loonschijven_Tranches salariale'!$Q13*0.55),4)*$X$1,2)&lt;Q$8,Q$8,IF('Loonschijven_Tranches salariale'!$Q13&lt;Basisbedragen!$C$23,ROUND(ROUND(('Loonschijven_Tranches salariale'!$Q13*0.55),4)*$X$1,2),ROUND(ROUND((Basisbedragen!$C$23*0.55),4)*$X$1,2)))</f>
        <v>54.55</v>
      </c>
      <c r="R15" s="316">
        <f t="shared" si="2"/>
        <v>51.47</v>
      </c>
      <c r="S15" s="316">
        <f t="shared" si="2"/>
        <v>48.4</v>
      </c>
      <c r="T15" s="316">
        <f t="shared" si="2"/>
        <v>45.32</v>
      </c>
      <c r="U15" s="316">
        <f t="shared" si="2"/>
        <v>44.69</v>
      </c>
      <c r="V15" s="161"/>
      <c r="W15" s="234">
        <f>N15+ROUND(Basisbedragen!$C$57*$X$1,2)</f>
        <v>39.169999999999995</v>
      </c>
      <c r="X15" s="316">
        <f>O15+ROUND(Basisbedragen!$C$57*$X$1,2)</f>
        <v>44.69</v>
      </c>
      <c r="Y15" s="161"/>
    </row>
    <row r="16" spans="1:48" ht="15" hidden="1" outlineLevel="1" thickBot="1">
      <c r="A16" s="364">
        <f t="shared" si="5"/>
        <v>7</v>
      </c>
      <c r="C16" s="316">
        <f>IF(ROUND(ROUND(('Loonschijven_Tranches salariale'!$Q14*0.65),4)*$X$1,2)&lt;C$8,C$8,ROUND(ROUND(('Loonschijven_Tranches salariale'!$Q14*0.65),4)*$X$1,2))</f>
        <v>53.22</v>
      </c>
      <c r="D16" s="316">
        <f>IF(ROUND(ROUND(('Loonschijven_Tranches salariale'!$Q14*0.6),4)*$X$1,2)&lt;D$8,D$8,ROUND(ROUND(('Loonschijven_Tranches salariale'!$Q14*0.6),4)*$X$1,2))</f>
        <v>49.13</v>
      </c>
      <c r="E16" s="316">
        <f>IF(ROUND(ROUND(('Loonschijven_Tranches salariale'!$Q14*0.6),4)*$X$1,2)&lt;E$8,E$8,IF('Loonschijven_Tranches salariale'!$Q14&lt;Basisbedragen!$C$24,ROUND(ROUND(('Loonschijven_Tranches salariale'!$Q14*0.6),4)*$X$1,2),ROUND(ROUND((Basisbedragen!$C$24*0.6),4)*$X$1,2)))</f>
        <v>49.13</v>
      </c>
      <c r="F16" s="161"/>
      <c r="G16" s="316">
        <f>IF(ROUND(ROUND(('Loonschijven_Tranches salariale'!$Q14*0.6),4)*$X$1,2)&lt;G$8,G$8,IF('Loonschijven_Tranches salariale'!$Q14&lt;Basisbedragen!$C$23,ROUND(ROUND(('Loonschijven_Tranches salariale'!$Q14*0.6),4)*$X$1,2),ROUND(ROUND((Basisbedragen!$C$23*0.6),4)*$X$1,2)))</f>
        <v>49.13</v>
      </c>
      <c r="H16" s="316">
        <f>IF(ROUND(ROUND(('Loonschijven_Tranches salariale'!$Q14*0.4),4)*$X$1,2)&lt;H$8,H$8,IF('Loonschijven_Tranches salariale'!$Q14&lt;Basisbedragen!$C$23,ROUND(ROUND(('Loonschijven_Tranches salariale'!$Q14*0.4),4)*$X$1,2),ROUND(ROUND((Basisbedragen!$C$23*0.4),4)*$X$1,2)))</f>
        <v>40.72</v>
      </c>
      <c r="I16" s="316">
        <f t="shared" si="3"/>
        <v>39.75</v>
      </c>
      <c r="J16" s="316">
        <f t="shared" si="1"/>
        <v>39.75</v>
      </c>
      <c r="K16" s="316">
        <f t="shared" si="1"/>
        <v>39.75</v>
      </c>
      <c r="L16" s="316">
        <f t="shared" si="1"/>
        <v>39.75</v>
      </c>
      <c r="M16" s="161"/>
      <c r="N16" s="234">
        <f t="shared" si="6"/>
        <v>34.229999999999997</v>
      </c>
      <c r="O16" s="316">
        <f t="shared" si="4"/>
        <v>39.75</v>
      </c>
      <c r="P16" s="161"/>
      <c r="Q16" s="316">
        <f>IF(ROUND(ROUND(('Loonschijven_Tranches salariale'!$Q14*0.55),4)*$X$1,2)&lt;Q$8,Q$8,IF('Loonschijven_Tranches salariale'!$Q14&lt;Basisbedragen!$C$23,ROUND(ROUND(('Loonschijven_Tranches salariale'!$Q14*0.55),4)*$X$1,2),ROUND(ROUND((Basisbedragen!$C$23*0.55),4)*$X$1,2)))</f>
        <v>54.55</v>
      </c>
      <c r="R16" s="316">
        <f t="shared" si="2"/>
        <v>51.47</v>
      </c>
      <c r="S16" s="316">
        <f t="shared" si="2"/>
        <v>48.4</v>
      </c>
      <c r="T16" s="316">
        <f t="shared" si="2"/>
        <v>45.32</v>
      </c>
      <c r="U16" s="316">
        <f t="shared" si="2"/>
        <v>44.69</v>
      </c>
      <c r="V16" s="161"/>
      <c r="W16" s="234">
        <f>N16+ROUND(Basisbedragen!$C$57*$X$1,2)</f>
        <v>39.169999999999995</v>
      </c>
      <c r="X16" s="316">
        <f>O16+ROUND(Basisbedragen!$C$57*$X$1,2)</f>
        <v>44.69</v>
      </c>
      <c r="Y16" s="161"/>
    </row>
    <row r="17" spans="1:25" ht="15" hidden="1" outlineLevel="1" thickBot="1">
      <c r="A17" s="364">
        <f t="shared" si="5"/>
        <v>8</v>
      </c>
      <c r="C17" s="316">
        <f>IF(ROUND(ROUND(('Loonschijven_Tranches salariale'!$Q15*0.65),4)*$X$1,2)&lt;C$8,C$8,ROUND(ROUND(('Loonschijven_Tranches salariale'!$Q15*0.65),4)*$X$1,2))</f>
        <v>53.22</v>
      </c>
      <c r="D17" s="316">
        <f>IF(ROUND(ROUND(('Loonschijven_Tranches salariale'!$Q15*0.6),4)*$X$1,2)&lt;D$8,D$8,ROUND(ROUND(('Loonschijven_Tranches salariale'!$Q15*0.6),4)*$X$1,2))</f>
        <v>49.13</v>
      </c>
      <c r="E17" s="316">
        <f>IF(ROUND(ROUND(('Loonschijven_Tranches salariale'!$Q15*0.6),4)*$X$1,2)&lt;E$8,E$8,IF('Loonschijven_Tranches salariale'!$Q15&lt;Basisbedragen!$C$24,ROUND(ROUND(('Loonschijven_Tranches salariale'!$Q15*0.6),4)*$X$1,2),ROUND(ROUND((Basisbedragen!$C$24*0.6),4)*$X$1,2)))</f>
        <v>49.13</v>
      </c>
      <c r="F17" s="161"/>
      <c r="G17" s="316">
        <f>IF(ROUND(ROUND(('Loonschijven_Tranches salariale'!$Q15*0.6),4)*$X$1,2)&lt;G$8,G$8,IF('Loonschijven_Tranches salariale'!$Q15&lt;Basisbedragen!$C$23,ROUND(ROUND(('Loonschijven_Tranches salariale'!$Q15*0.6),4)*$X$1,2),ROUND(ROUND((Basisbedragen!$C$23*0.6),4)*$X$1,2)))</f>
        <v>49.13</v>
      </c>
      <c r="H17" s="316">
        <f>IF(ROUND(ROUND(('Loonschijven_Tranches salariale'!$Q15*0.4),4)*$X$1,2)&lt;H$8,H$8,IF('Loonschijven_Tranches salariale'!$Q15&lt;Basisbedragen!$C$23,ROUND(ROUND(('Loonschijven_Tranches salariale'!$Q15*0.4),4)*$X$1,2),ROUND(ROUND((Basisbedragen!$C$23*0.4),4)*$X$1,2)))</f>
        <v>40.72</v>
      </c>
      <c r="I17" s="316">
        <f t="shared" si="3"/>
        <v>39.75</v>
      </c>
      <c r="J17" s="316">
        <f t="shared" si="1"/>
        <v>39.75</v>
      </c>
      <c r="K17" s="316">
        <f t="shared" si="1"/>
        <v>39.75</v>
      </c>
      <c r="L17" s="316">
        <f t="shared" si="1"/>
        <v>39.75</v>
      </c>
      <c r="M17" s="161"/>
      <c r="N17" s="234">
        <f t="shared" si="6"/>
        <v>34.229999999999997</v>
      </c>
      <c r="O17" s="316">
        <f t="shared" si="4"/>
        <v>39.75</v>
      </c>
      <c r="P17" s="161"/>
      <c r="Q17" s="316">
        <f>IF(ROUND(ROUND(('Loonschijven_Tranches salariale'!$Q15*0.55),4)*$X$1,2)&lt;Q$8,Q$8,IF('Loonschijven_Tranches salariale'!$Q15&lt;Basisbedragen!$C$23,ROUND(ROUND(('Loonschijven_Tranches salariale'!$Q15*0.55),4)*$X$1,2),ROUND(ROUND((Basisbedragen!$C$23*0.55),4)*$X$1,2)))</f>
        <v>54.55</v>
      </c>
      <c r="R17" s="316">
        <f t="shared" si="2"/>
        <v>51.47</v>
      </c>
      <c r="S17" s="316">
        <f t="shared" si="2"/>
        <v>48.4</v>
      </c>
      <c r="T17" s="316">
        <f t="shared" si="2"/>
        <v>45.32</v>
      </c>
      <c r="U17" s="316">
        <f t="shared" si="2"/>
        <v>44.69</v>
      </c>
      <c r="V17" s="161"/>
      <c r="W17" s="234">
        <f>N17+ROUND(Basisbedragen!$C$57*$X$1,2)</f>
        <v>39.169999999999995</v>
      </c>
      <c r="X17" s="316">
        <f>O17+ROUND(Basisbedragen!$C$57*$X$1,2)</f>
        <v>44.69</v>
      </c>
      <c r="Y17" s="161"/>
    </row>
    <row r="18" spans="1:25" ht="15" hidden="1" outlineLevel="1" thickBot="1">
      <c r="A18" s="364">
        <f t="shared" si="5"/>
        <v>9</v>
      </c>
      <c r="C18" s="316">
        <f>IF(ROUND(ROUND(('Loonschijven_Tranches salariale'!$Q16*0.65),4)*$X$1,2)&lt;C$8,C$8,ROUND(ROUND(('Loonschijven_Tranches salariale'!$Q16*0.65),4)*$X$1,2))</f>
        <v>53.22</v>
      </c>
      <c r="D18" s="316">
        <f>IF(ROUND(ROUND(('Loonschijven_Tranches salariale'!$Q16*0.6),4)*$X$1,2)&lt;D$8,D$8,ROUND(ROUND(('Loonschijven_Tranches salariale'!$Q16*0.6),4)*$X$1,2))</f>
        <v>49.13</v>
      </c>
      <c r="E18" s="316">
        <f>IF(ROUND(ROUND(('Loonschijven_Tranches salariale'!$Q16*0.6),4)*$X$1,2)&lt;E$8,E$8,IF('Loonschijven_Tranches salariale'!$Q16&lt;Basisbedragen!$C$24,ROUND(ROUND(('Loonschijven_Tranches salariale'!$Q16*0.6),4)*$X$1,2),ROUND(ROUND((Basisbedragen!$C$24*0.6),4)*$X$1,2)))</f>
        <v>49.13</v>
      </c>
      <c r="F18" s="161"/>
      <c r="G18" s="316">
        <f>IF(ROUND(ROUND(('Loonschijven_Tranches salariale'!$Q16*0.6),4)*$X$1,2)&lt;G$8,G$8,IF('Loonschijven_Tranches salariale'!$Q16&lt;Basisbedragen!$C$23,ROUND(ROUND(('Loonschijven_Tranches salariale'!$Q16*0.6),4)*$X$1,2),ROUND(ROUND((Basisbedragen!$C$23*0.6),4)*$X$1,2)))</f>
        <v>49.13</v>
      </c>
      <c r="H18" s="316">
        <f>IF(ROUND(ROUND(('Loonschijven_Tranches salariale'!$Q16*0.4),4)*$X$1,2)&lt;H$8,H$8,IF('Loonschijven_Tranches salariale'!$Q16&lt;Basisbedragen!$C$23,ROUND(ROUND(('Loonschijven_Tranches salariale'!$Q16*0.4),4)*$X$1,2),ROUND(ROUND((Basisbedragen!$C$23*0.4),4)*$X$1,2)))</f>
        <v>40.72</v>
      </c>
      <c r="I18" s="316">
        <f t="shared" si="3"/>
        <v>39.75</v>
      </c>
      <c r="J18" s="316">
        <f t="shared" si="1"/>
        <v>39.75</v>
      </c>
      <c r="K18" s="316">
        <f t="shared" si="1"/>
        <v>39.75</v>
      </c>
      <c r="L18" s="316">
        <f t="shared" si="1"/>
        <v>39.75</v>
      </c>
      <c r="M18" s="161"/>
      <c r="N18" s="234">
        <f t="shared" si="6"/>
        <v>34.229999999999997</v>
      </c>
      <c r="O18" s="316">
        <f t="shared" si="4"/>
        <v>39.75</v>
      </c>
      <c r="P18" s="161"/>
      <c r="Q18" s="316">
        <f>IF(ROUND(ROUND(('Loonschijven_Tranches salariale'!$Q16*0.55),4)*$X$1,2)&lt;Q$8,Q$8,IF('Loonschijven_Tranches salariale'!$Q16&lt;Basisbedragen!$C$23,ROUND(ROUND(('Loonschijven_Tranches salariale'!$Q16*0.55),4)*$X$1,2),ROUND(ROUND((Basisbedragen!$C$23*0.55),4)*$X$1,2)))</f>
        <v>54.55</v>
      </c>
      <c r="R18" s="316">
        <f t="shared" si="2"/>
        <v>51.47</v>
      </c>
      <c r="S18" s="316">
        <f t="shared" si="2"/>
        <v>48.4</v>
      </c>
      <c r="T18" s="316">
        <f t="shared" si="2"/>
        <v>45.32</v>
      </c>
      <c r="U18" s="316">
        <f t="shared" si="2"/>
        <v>44.69</v>
      </c>
      <c r="V18" s="161"/>
      <c r="W18" s="234">
        <f>N18+ROUND(Basisbedragen!$C$57*$X$1,2)</f>
        <v>39.169999999999995</v>
      </c>
      <c r="X18" s="316">
        <f>O18+ROUND(Basisbedragen!$C$57*$X$1,2)</f>
        <v>44.69</v>
      </c>
      <c r="Y18" s="161"/>
    </row>
    <row r="19" spans="1:25" ht="15" hidden="1" outlineLevel="1" thickBot="1">
      <c r="A19" s="364">
        <f t="shared" si="5"/>
        <v>10</v>
      </c>
      <c r="C19" s="316">
        <f>IF(ROUND(ROUND(('Loonschijven_Tranches salariale'!$Q17*0.65),4)*$X$1,2)&lt;C$8,C$8,ROUND(ROUND(('Loonschijven_Tranches salariale'!$Q17*0.65),4)*$X$1,2))</f>
        <v>53.22</v>
      </c>
      <c r="D19" s="316">
        <f>IF(ROUND(ROUND(('Loonschijven_Tranches salariale'!$Q17*0.6),4)*$X$1,2)&lt;D$8,D$8,ROUND(ROUND(('Loonschijven_Tranches salariale'!$Q17*0.6),4)*$X$1,2))</f>
        <v>49.13</v>
      </c>
      <c r="E19" s="316">
        <f>IF(ROUND(ROUND(('Loonschijven_Tranches salariale'!$Q17*0.6),4)*$X$1,2)&lt;E$8,E$8,IF('Loonschijven_Tranches salariale'!$Q17&lt;Basisbedragen!$C$24,ROUND(ROUND(('Loonschijven_Tranches salariale'!$Q17*0.6),4)*$X$1,2),ROUND(ROUND((Basisbedragen!$C$24*0.6),4)*$X$1,2)))</f>
        <v>49.13</v>
      </c>
      <c r="F19" s="161"/>
      <c r="G19" s="316">
        <f>IF(ROUND(ROUND(('Loonschijven_Tranches salariale'!$Q17*0.6),4)*$X$1,2)&lt;G$8,G$8,IF('Loonschijven_Tranches salariale'!$Q17&lt;Basisbedragen!$C$23,ROUND(ROUND(('Loonschijven_Tranches salariale'!$Q17*0.6),4)*$X$1,2),ROUND(ROUND((Basisbedragen!$C$23*0.6),4)*$X$1,2)))</f>
        <v>49.13</v>
      </c>
      <c r="H19" s="316">
        <f>IF(ROUND(ROUND(('Loonschijven_Tranches salariale'!$Q17*0.4),4)*$X$1,2)&lt;H$8,H$8,IF('Loonschijven_Tranches salariale'!$Q17&lt;Basisbedragen!$C$23,ROUND(ROUND(('Loonschijven_Tranches salariale'!$Q17*0.4),4)*$X$1,2),ROUND(ROUND((Basisbedragen!$C$23*0.4),4)*$X$1,2)))</f>
        <v>40.72</v>
      </c>
      <c r="I19" s="316">
        <f t="shared" si="3"/>
        <v>39.75</v>
      </c>
      <c r="J19" s="316">
        <f t="shared" si="1"/>
        <v>39.75</v>
      </c>
      <c r="K19" s="316">
        <f t="shared" si="1"/>
        <v>39.75</v>
      </c>
      <c r="L19" s="316">
        <f t="shared" si="1"/>
        <v>39.75</v>
      </c>
      <c r="M19" s="161"/>
      <c r="N19" s="234">
        <f t="shared" si="6"/>
        <v>34.229999999999997</v>
      </c>
      <c r="O19" s="316">
        <f t="shared" si="4"/>
        <v>39.75</v>
      </c>
      <c r="P19" s="161"/>
      <c r="Q19" s="316">
        <f>IF(ROUND(ROUND(('Loonschijven_Tranches salariale'!$Q17*0.55),4)*$X$1,2)&lt;Q$8,Q$8,IF('Loonschijven_Tranches salariale'!$Q17&lt;Basisbedragen!$C$23,ROUND(ROUND(('Loonschijven_Tranches salariale'!$Q17*0.55),4)*$X$1,2),ROUND(ROUND((Basisbedragen!$C$23*0.55),4)*$X$1,2)))</f>
        <v>54.55</v>
      </c>
      <c r="R19" s="316">
        <f t="shared" si="2"/>
        <v>51.47</v>
      </c>
      <c r="S19" s="316">
        <f t="shared" si="2"/>
        <v>48.4</v>
      </c>
      <c r="T19" s="316">
        <f t="shared" si="2"/>
        <v>45.32</v>
      </c>
      <c r="U19" s="316">
        <f t="shared" si="2"/>
        <v>44.69</v>
      </c>
      <c r="V19" s="161"/>
      <c r="W19" s="234">
        <f>N19+ROUND(Basisbedragen!$C$57*$X$1,2)</f>
        <v>39.169999999999995</v>
      </c>
      <c r="X19" s="316">
        <f>O19+ROUND(Basisbedragen!$C$57*$X$1,2)</f>
        <v>44.69</v>
      </c>
      <c r="Y19" s="161"/>
    </row>
    <row r="20" spans="1:25" ht="15" hidden="1" outlineLevel="1" thickBot="1">
      <c r="A20" s="364">
        <f t="shared" si="5"/>
        <v>11</v>
      </c>
      <c r="C20" s="316">
        <f>IF(ROUND(ROUND(('Loonschijven_Tranches salariale'!$Q18*0.65),4)*$X$1,2)&lt;C$8,C$8,ROUND(ROUND(('Loonschijven_Tranches salariale'!$Q18*0.65),4)*$X$1,2))</f>
        <v>53.22</v>
      </c>
      <c r="D20" s="316">
        <f>IF(ROUND(ROUND(('Loonschijven_Tranches salariale'!$Q18*0.6),4)*$X$1,2)&lt;D$8,D$8,ROUND(ROUND(('Loonschijven_Tranches salariale'!$Q18*0.6),4)*$X$1,2))</f>
        <v>49.13</v>
      </c>
      <c r="E20" s="316">
        <f>IF(ROUND(ROUND(('Loonschijven_Tranches salariale'!$Q18*0.6),4)*$X$1,2)&lt;E$8,E$8,IF('Loonschijven_Tranches salariale'!$Q18&lt;Basisbedragen!$C$24,ROUND(ROUND(('Loonschijven_Tranches salariale'!$Q18*0.6),4)*$X$1,2),ROUND(ROUND((Basisbedragen!$C$24*0.6),4)*$X$1,2)))</f>
        <v>49.13</v>
      </c>
      <c r="F20" s="161"/>
      <c r="G20" s="316">
        <f>IF(ROUND(ROUND(('Loonschijven_Tranches salariale'!$Q18*0.6),4)*$X$1,2)&lt;G$8,G$8,IF('Loonschijven_Tranches salariale'!$Q18&lt;Basisbedragen!$C$23,ROUND(ROUND(('Loonschijven_Tranches salariale'!$Q18*0.6),4)*$X$1,2),ROUND(ROUND((Basisbedragen!$C$23*0.6),4)*$X$1,2)))</f>
        <v>49.13</v>
      </c>
      <c r="H20" s="316">
        <f>IF(ROUND(ROUND(('Loonschijven_Tranches salariale'!$Q18*0.4),4)*$X$1,2)&lt;H$8,H$8,IF('Loonschijven_Tranches salariale'!$Q18&lt;Basisbedragen!$C$23,ROUND(ROUND(('Loonschijven_Tranches salariale'!$Q18*0.4),4)*$X$1,2),ROUND(ROUND((Basisbedragen!$C$23*0.4),4)*$X$1,2)))</f>
        <v>40.72</v>
      </c>
      <c r="I20" s="316">
        <f t="shared" si="3"/>
        <v>39.75</v>
      </c>
      <c r="J20" s="316">
        <f t="shared" si="1"/>
        <v>39.75</v>
      </c>
      <c r="K20" s="316">
        <f t="shared" si="1"/>
        <v>39.75</v>
      </c>
      <c r="L20" s="316">
        <f t="shared" si="1"/>
        <v>39.75</v>
      </c>
      <c r="M20" s="161"/>
      <c r="N20" s="234">
        <f t="shared" si="6"/>
        <v>34.229999999999997</v>
      </c>
      <c r="O20" s="316">
        <f t="shared" si="4"/>
        <v>39.75</v>
      </c>
      <c r="P20" s="161"/>
      <c r="Q20" s="316">
        <f>IF(ROUND(ROUND(('Loonschijven_Tranches salariale'!$Q18*0.55),4)*$X$1,2)&lt;Q$8,Q$8,IF('Loonschijven_Tranches salariale'!$Q18&lt;Basisbedragen!$C$23,ROUND(ROUND(('Loonschijven_Tranches salariale'!$Q18*0.55),4)*$X$1,2),ROUND(ROUND((Basisbedragen!$C$23*0.55),4)*$X$1,2)))</f>
        <v>54.55</v>
      </c>
      <c r="R20" s="316">
        <f t="shared" si="2"/>
        <v>51.47</v>
      </c>
      <c r="S20" s="316">
        <f t="shared" si="2"/>
        <v>48.4</v>
      </c>
      <c r="T20" s="316">
        <f t="shared" si="2"/>
        <v>45.32</v>
      </c>
      <c r="U20" s="316">
        <f t="shared" si="2"/>
        <v>44.69</v>
      </c>
      <c r="V20" s="161"/>
      <c r="W20" s="234">
        <f>N20+ROUND(Basisbedragen!$C$57*$X$1,2)</f>
        <v>39.169999999999995</v>
      </c>
      <c r="X20" s="316">
        <f>O20+ROUND(Basisbedragen!$C$57*$X$1,2)</f>
        <v>44.69</v>
      </c>
      <c r="Y20" s="161"/>
    </row>
    <row r="21" spans="1:25" ht="15" hidden="1" outlineLevel="1" thickBot="1">
      <c r="A21" s="364">
        <f t="shared" si="5"/>
        <v>12</v>
      </c>
      <c r="C21" s="316">
        <f>IF(ROUND(ROUND(('Loonschijven_Tranches salariale'!$Q19*0.65),4)*$X$1,2)&lt;C$8,C$8,ROUND(ROUND(('Loonschijven_Tranches salariale'!$Q19*0.65),4)*$X$1,2))</f>
        <v>53.22</v>
      </c>
      <c r="D21" s="316">
        <f>IF(ROUND(ROUND(('Loonschijven_Tranches salariale'!$Q19*0.6),4)*$X$1,2)&lt;D$8,D$8,ROUND(ROUND(('Loonschijven_Tranches salariale'!$Q19*0.6),4)*$X$1,2))</f>
        <v>49.13</v>
      </c>
      <c r="E21" s="316">
        <f>IF(ROUND(ROUND(('Loonschijven_Tranches salariale'!$Q19*0.6),4)*$X$1,2)&lt;E$8,E$8,IF('Loonschijven_Tranches salariale'!$Q19&lt;Basisbedragen!$C$24,ROUND(ROUND(('Loonschijven_Tranches salariale'!$Q19*0.6),4)*$X$1,2),ROUND(ROUND((Basisbedragen!$C$24*0.6),4)*$X$1,2)))</f>
        <v>49.13</v>
      </c>
      <c r="F21" s="161"/>
      <c r="G21" s="316">
        <f>IF(ROUND(ROUND(('Loonschijven_Tranches salariale'!$Q19*0.6),4)*$X$1,2)&lt;G$8,G$8,IF('Loonschijven_Tranches salariale'!$Q19&lt;Basisbedragen!$C$23,ROUND(ROUND(('Loonschijven_Tranches salariale'!$Q19*0.6),4)*$X$1,2),ROUND(ROUND((Basisbedragen!$C$23*0.6),4)*$X$1,2)))</f>
        <v>49.13</v>
      </c>
      <c r="H21" s="316">
        <f>IF(ROUND(ROUND(('Loonschijven_Tranches salariale'!$Q19*0.4),4)*$X$1,2)&lt;H$8,H$8,IF('Loonschijven_Tranches salariale'!$Q19&lt;Basisbedragen!$C$23,ROUND(ROUND(('Loonschijven_Tranches salariale'!$Q19*0.4),4)*$X$1,2),ROUND(ROUND((Basisbedragen!$C$23*0.4),4)*$X$1,2)))</f>
        <v>40.72</v>
      </c>
      <c r="I21" s="316">
        <f t="shared" si="3"/>
        <v>39.75</v>
      </c>
      <c r="J21" s="316">
        <f t="shared" si="1"/>
        <v>39.75</v>
      </c>
      <c r="K21" s="316">
        <f t="shared" si="1"/>
        <v>39.75</v>
      </c>
      <c r="L21" s="316">
        <f t="shared" si="1"/>
        <v>39.75</v>
      </c>
      <c r="M21" s="161"/>
      <c r="N21" s="234">
        <f t="shared" si="6"/>
        <v>34.229999999999997</v>
      </c>
      <c r="O21" s="316">
        <f t="shared" si="4"/>
        <v>39.75</v>
      </c>
      <c r="P21" s="161"/>
      <c r="Q21" s="316">
        <f>IF(ROUND(ROUND(('Loonschijven_Tranches salariale'!$Q19*0.55),4)*$X$1,2)&lt;Q$8,Q$8,IF('Loonschijven_Tranches salariale'!$Q19&lt;Basisbedragen!$C$23,ROUND(ROUND(('Loonschijven_Tranches salariale'!$Q19*0.55),4)*$X$1,2),ROUND(ROUND((Basisbedragen!$C$23*0.55),4)*$X$1,2)))</f>
        <v>54.55</v>
      </c>
      <c r="R21" s="316">
        <f t="shared" si="2"/>
        <v>51.47</v>
      </c>
      <c r="S21" s="316">
        <f t="shared" si="2"/>
        <v>48.4</v>
      </c>
      <c r="T21" s="316">
        <f t="shared" si="2"/>
        <v>45.32</v>
      </c>
      <c r="U21" s="316">
        <f t="shared" si="2"/>
        <v>44.69</v>
      </c>
      <c r="V21" s="161"/>
      <c r="W21" s="234">
        <f>N21+ROUND(Basisbedragen!$C$57*$X$1,2)</f>
        <v>39.169999999999995</v>
      </c>
      <c r="X21" s="316">
        <f>O21+ROUND(Basisbedragen!$C$57*$X$1,2)</f>
        <v>44.69</v>
      </c>
      <c r="Y21" s="161"/>
    </row>
    <row r="22" spans="1:25" ht="15" hidden="1" outlineLevel="1" thickBot="1">
      <c r="A22" s="364">
        <f t="shared" si="5"/>
        <v>13</v>
      </c>
      <c r="C22" s="316">
        <f>IF(ROUND(ROUND(('Loonschijven_Tranches salariale'!$Q20*0.65),4)*$X$1,2)&lt;C$8,C$8,ROUND(ROUND(('Loonschijven_Tranches salariale'!$Q20*0.65),4)*$X$1,2))</f>
        <v>53.22</v>
      </c>
      <c r="D22" s="316">
        <f>IF(ROUND(ROUND(('Loonschijven_Tranches salariale'!$Q20*0.6),4)*$X$1,2)&lt;D$8,D$8,ROUND(ROUND(('Loonschijven_Tranches salariale'!$Q20*0.6),4)*$X$1,2))</f>
        <v>49.13</v>
      </c>
      <c r="E22" s="316">
        <f>IF(ROUND(ROUND(('Loonschijven_Tranches salariale'!$Q20*0.6),4)*$X$1,2)&lt;E$8,E$8,IF('Loonschijven_Tranches salariale'!$Q20&lt;Basisbedragen!$C$24,ROUND(ROUND(('Loonschijven_Tranches salariale'!$Q20*0.6),4)*$X$1,2),ROUND(ROUND((Basisbedragen!$C$24*0.6),4)*$X$1,2)))</f>
        <v>49.13</v>
      </c>
      <c r="F22" s="161"/>
      <c r="G22" s="316">
        <f>IF(ROUND(ROUND(('Loonschijven_Tranches salariale'!$Q20*0.6),4)*$X$1,2)&lt;G$8,G$8,IF('Loonschijven_Tranches salariale'!$Q20&lt;Basisbedragen!$C$23,ROUND(ROUND(('Loonschijven_Tranches salariale'!$Q20*0.6),4)*$X$1,2),ROUND(ROUND((Basisbedragen!$C$23*0.6),4)*$X$1,2)))</f>
        <v>49.13</v>
      </c>
      <c r="H22" s="316">
        <f>IF(ROUND(ROUND(('Loonschijven_Tranches salariale'!$Q20*0.4),4)*$X$1,2)&lt;H$8,H$8,IF('Loonschijven_Tranches salariale'!$Q20&lt;Basisbedragen!$C$23,ROUND(ROUND(('Loonschijven_Tranches salariale'!$Q20*0.4),4)*$X$1,2),ROUND(ROUND((Basisbedragen!$C$23*0.4),4)*$X$1,2)))</f>
        <v>40.72</v>
      </c>
      <c r="I22" s="316">
        <f t="shared" si="3"/>
        <v>39.75</v>
      </c>
      <c r="J22" s="316">
        <f t="shared" si="1"/>
        <v>39.75</v>
      </c>
      <c r="K22" s="316">
        <f t="shared" si="1"/>
        <v>39.75</v>
      </c>
      <c r="L22" s="316">
        <f t="shared" si="1"/>
        <v>39.75</v>
      </c>
      <c r="M22" s="161"/>
      <c r="N22" s="234">
        <f t="shared" si="6"/>
        <v>34.229999999999997</v>
      </c>
      <c r="O22" s="316">
        <f t="shared" si="4"/>
        <v>39.75</v>
      </c>
      <c r="P22" s="161"/>
      <c r="Q22" s="316">
        <f>IF(ROUND(ROUND(('Loonschijven_Tranches salariale'!$Q20*0.55),4)*$X$1,2)&lt;Q$8,Q$8,IF('Loonschijven_Tranches salariale'!$Q20&lt;Basisbedragen!$C$23,ROUND(ROUND(('Loonschijven_Tranches salariale'!$Q20*0.55),4)*$X$1,2),ROUND(ROUND((Basisbedragen!$C$23*0.55),4)*$X$1,2)))</f>
        <v>54.55</v>
      </c>
      <c r="R22" s="316">
        <f t="shared" si="2"/>
        <v>51.47</v>
      </c>
      <c r="S22" s="316">
        <f t="shared" si="2"/>
        <v>48.4</v>
      </c>
      <c r="T22" s="316">
        <f t="shared" si="2"/>
        <v>45.32</v>
      </c>
      <c r="U22" s="316">
        <f t="shared" si="2"/>
        <v>44.69</v>
      </c>
      <c r="V22" s="161"/>
      <c r="W22" s="234">
        <f>N22+ROUND(Basisbedragen!$C$57*$X$1,2)</f>
        <v>39.169999999999995</v>
      </c>
      <c r="X22" s="316">
        <f>O22+ROUND(Basisbedragen!$C$57*$X$1,2)</f>
        <v>44.69</v>
      </c>
      <c r="Y22" s="161"/>
    </row>
    <row r="23" spans="1:25" ht="15" hidden="1" outlineLevel="1" thickBot="1">
      <c r="A23" s="364">
        <f t="shared" si="5"/>
        <v>14</v>
      </c>
      <c r="C23" s="316">
        <f>IF(ROUND(ROUND(('Loonschijven_Tranches salariale'!$Q21*0.65),4)*$X$1,2)&lt;C$8,C$8,ROUND(ROUND(('Loonschijven_Tranches salariale'!$Q21*0.65),4)*$X$1,2))</f>
        <v>53.22</v>
      </c>
      <c r="D23" s="316">
        <f>IF(ROUND(ROUND(('Loonschijven_Tranches salariale'!$Q21*0.6),4)*$X$1,2)&lt;D$8,D$8,ROUND(ROUND(('Loonschijven_Tranches salariale'!$Q21*0.6),4)*$X$1,2))</f>
        <v>49.13</v>
      </c>
      <c r="E23" s="316">
        <f>IF(ROUND(ROUND(('Loonschijven_Tranches salariale'!$Q21*0.6),4)*$X$1,2)&lt;E$8,E$8,IF('Loonschijven_Tranches salariale'!$Q21&lt;Basisbedragen!$C$24,ROUND(ROUND(('Loonschijven_Tranches salariale'!$Q21*0.6),4)*$X$1,2),ROUND(ROUND((Basisbedragen!$C$24*0.6),4)*$X$1,2)))</f>
        <v>49.13</v>
      </c>
      <c r="F23" s="161"/>
      <c r="G23" s="316">
        <f>IF(ROUND(ROUND(('Loonschijven_Tranches salariale'!$Q21*0.6),4)*$X$1,2)&lt;G$8,G$8,IF('Loonschijven_Tranches salariale'!$Q21&lt;Basisbedragen!$C$23,ROUND(ROUND(('Loonschijven_Tranches salariale'!$Q21*0.6),4)*$X$1,2),ROUND(ROUND((Basisbedragen!$C$23*0.6),4)*$X$1,2)))</f>
        <v>49.13</v>
      </c>
      <c r="H23" s="316">
        <f>IF(ROUND(ROUND(('Loonschijven_Tranches salariale'!$Q21*0.4),4)*$X$1,2)&lt;H$8,H$8,IF('Loonschijven_Tranches salariale'!$Q21&lt;Basisbedragen!$C$23,ROUND(ROUND(('Loonschijven_Tranches salariale'!$Q21*0.4),4)*$X$1,2),ROUND(ROUND((Basisbedragen!$C$23*0.4),4)*$X$1,2)))</f>
        <v>40.72</v>
      </c>
      <c r="I23" s="316">
        <f t="shared" si="3"/>
        <v>39.75</v>
      </c>
      <c r="J23" s="316">
        <f t="shared" si="1"/>
        <v>39.75</v>
      </c>
      <c r="K23" s="316">
        <f t="shared" si="1"/>
        <v>39.75</v>
      </c>
      <c r="L23" s="316">
        <f t="shared" si="1"/>
        <v>39.75</v>
      </c>
      <c r="M23" s="161"/>
      <c r="N23" s="234">
        <f t="shared" si="6"/>
        <v>34.229999999999997</v>
      </c>
      <c r="O23" s="316">
        <f t="shared" si="4"/>
        <v>39.75</v>
      </c>
      <c r="P23" s="161"/>
      <c r="Q23" s="316">
        <f>IF(ROUND(ROUND(('Loonschijven_Tranches salariale'!$Q21*0.55),4)*$X$1,2)&lt;Q$8,Q$8,IF('Loonschijven_Tranches salariale'!$Q21&lt;Basisbedragen!$C$23,ROUND(ROUND(('Loonschijven_Tranches salariale'!$Q21*0.55),4)*$X$1,2),ROUND(ROUND((Basisbedragen!$C$23*0.55),4)*$X$1,2)))</f>
        <v>54.55</v>
      </c>
      <c r="R23" s="316">
        <f t="shared" si="2"/>
        <v>51.47</v>
      </c>
      <c r="S23" s="316">
        <f t="shared" si="2"/>
        <v>48.4</v>
      </c>
      <c r="T23" s="316">
        <f t="shared" si="2"/>
        <v>45.32</v>
      </c>
      <c r="U23" s="316">
        <f t="shared" si="2"/>
        <v>44.69</v>
      </c>
      <c r="V23" s="161"/>
      <c r="W23" s="234">
        <f>N23+ROUND(Basisbedragen!$C$57*$X$1,2)</f>
        <v>39.169999999999995</v>
      </c>
      <c r="X23" s="316">
        <f>O23+ROUND(Basisbedragen!$C$57*$X$1,2)</f>
        <v>44.69</v>
      </c>
      <c r="Y23" s="161"/>
    </row>
    <row r="24" spans="1:25" ht="15" hidden="1" outlineLevel="1" thickBot="1">
      <c r="A24" s="364">
        <f t="shared" si="5"/>
        <v>15</v>
      </c>
      <c r="C24" s="316">
        <f>IF(ROUND(ROUND(('Loonschijven_Tranches salariale'!$Q22*0.65),4)*$X$1,2)&lt;C$8,C$8,ROUND(ROUND(('Loonschijven_Tranches salariale'!$Q22*0.65),4)*$X$1,2))</f>
        <v>53.22</v>
      </c>
      <c r="D24" s="316">
        <f>IF(ROUND(ROUND(('Loonschijven_Tranches salariale'!$Q22*0.6),4)*$X$1,2)&lt;D$8,D$8,ROUND(ROUND(('Loonschijven_Tranches salariale'!$Q22*0.6),4)*$X$1,2))</f>
        <v>49.13</v>
      </c>
      <c r="E24" s="316">
        <f>IF(ROUND(ROUND(('Loonschijven_Tranches salariale'!$Q22*0.6),4)*$X$1,2)&lt;E$8,E$8,IF('Loonschijven_Tranches salariale'!$Q22&lt;Basisbedragen!$C$24,ROUND(ROUND(('Loonschijven_Tranches salariale'!$Q22*0.6),4)*$X$1,2),ROUND(ROUND((Basisbedragen!$C$24*0.6),4)*$X$1,2)))</f>
        <v>49.13</v>
      </c>
      <c r="F24" s="161"/>
      <c r="G24" s="316">
        <f>IF(ROUND(ROUND(('Loonschijven_Tranches salariale'!$Q22*0.6),4)*$X$1,2)&lt;G$8,G$8,IF('Loonschijven_Tranches salariale'!$Q22&lt;Basisbedragen!$C$23,ROUND(ROUND(('Loonschijven_Tranches salariale'!$Q22*0.6),4)*$X$1,2),ROUND(ROUND((Basisbedragen!$C$23*0.6),4)*$X$1,2)))</f>
        <v>49.13</v>
      </c>
      <c r="H24" s="316">
        <f>IF(ROUND(ROUND(('Loonschijven_Tranches salariale'!$Q22*0.4),4)*$X$1,2)&lt;H$8,H$8,IF('Loonschijven_Tranches salariale'!$Q22&lt;Basisbedragen!$C$23,ROUND(ROUND(('Loonschijven_Tranches salariale'!$Q22*0.4),4)*$X$1,2),ROUND(ROUND((Basisbedragen!$C$23*0.4),4)*$X$1,2)))</f>
        <v>40.72</v>
      </c>
      <c r="I24" s="316">
        <f t="shared" si="3"/>
        <v>39.75</v>
      </c>
      <c r="J24" s="316">
        <f t="shared" si="1"/>
        <v>39.75</v>
      </c>
      <c r="K24" s="316">
        <f t="shared" si="1"/>
        <v>39.75</v>
      </c>
      <c r="L24" s="316">
        <f t="shared" si="1"/>
        <v>39.75</v>
      </c>
      <c r="M24" s="161"/>
      <c r="N24" s="234">
        <f t="shared" si="6"/>
        <v>34.229999999999997</v>
      </c>
      <c r="O24" s="316">
        <f t="shared" si="4"/>
        <v>39.75</v>
      </c>
      <c r="P24" s="161"/>
      <c r="Q24" s="316">
        <f>IF(ROUND(ROUND(('Loonschijven_Tranches salariale'!$Q22*0.55),4)*$X$1,2)&lt;Q$8,Q$8,IF('Loonschijven_Tranches salariale'!$Q22&lt;Basisbedragen!$C$23,ROUND(ROUND(('Loonschijven_Tranches salariale'!$Q22*0.55),4)*$X$1,2),ROUND(ROUND((Basisbedragen!$C$23*0.55),4)*$X$1,2)))</f>
        <v>54.55</v>
      </c>
      <c r="R24" s="316">
        <f t="shared" si="2"/>
        <v>51.47</v>
      </c>
      <c r="S24" s="316">
        <f t="shared" si="2"/>
        <v>48.4</v>
      </c>
      <c r="T24" s="316">
        <f t="shared" si="2"/>
        <v>45.32</v>
      </c>
      <c r="U24" s="316">
        <f t="shared" si="2"/>
        <v>44.69</v>
      </c>
      <c r="V24" s="161"/>
      <c r="W24" s="234">
        <f>N24+ROUND(Basisbedragen!$C$57*$X$1,2)</f>
        <v>39.169999999999995</v>
      </c>
      <c r="X24" s="316">
        <f>O24+ROUND(Basisbedragen!$C$57*$X$1,2)</f>
        <v>44.69</v>
      </c>
      <c r="Y24" s="161"/>
    </row>
    <row r="25" spans="1:25" ht="15" hidden="1" outlineLevel="1" thickBot="1">
      <c r="A25" s="364">
        <f t="shared" si="5"/>
        <v>16</v>
      </c>
      <c r="C25" s="316">
        <f>IF(ROUND(ROUND(('Loonschijven_Tranches salariale'!$Q23*0.65),4)*$X$1,2)&lt;C$8,C$8,ROUND(ROUND(('Loonschijven_Tranches salariale'!$Q23*0.65),4)*$X$1,2))</f>
        <v>53.22</v>
      </c>
      <c r="D25" s="316">
        <f>IF(ROUND(ROUND(('Loonschijven_Tranches salariale'!$Q23*0.6),4)*$X$1,2)&lt;D$8,D$8,ROUND(ROUND(('Loonschijven_Tranches salariale'!$Q23*0.6),4)*$X$1,2))</f>
        <v>49.13</v>
      </c>
      <c r="E25" s="316">
        <f>IF(ROUND(ROUND(('Loonschijven_Tranches salariale'!$Q23*0.6),4)*$X$1,2)&lt;E$8,E$8,IF('Loonschijven_Tranches salariale'!$Q23&lt;Basisbedragen!$C$24,ROUND(ROUND(('Loonschijven_Tranches salariale'!$Q23*0.6),4)*$X$1,2),ROUND(ROUND((Basisbedragen!$C$24*0.6),4)*$X$1,2)))</f>
        <v>49.13</v>
      </c>
      <c r="F25" s="161"/>
      <c r="G25" s="316">
        <f>IF(ROUND(ROUND(('Loonschijven_Tranches salariale'!$Q23*0.6),4)*$X$1,2)&lt;G$8,G$8,IF('Loonschijven_Tranches salariale'!$Q23&lt;Basisbedragen!$C$23,ROUND(ROUND(('Loonschijven_Tranches salariale'!$Q23*0.6),4)*$X$1,2),ROUND(ROUND((Basisbedragen!$C$23*0.6),4)*$X$1,2)))</f>
        <v>49.13</v>
      </c>
      <c r="H25" s="316">
        <f>IF(ROUND(ROUND(('Loonschijven_Tranches salariale'!$Q23*0.4),4)*$X$1,2)&lt;H$8,H$8,IF('Loonschijven_Tranches salariale'!$Q23&lt;Basisbedragen!$C$23,ROUND(ROUND(('Loonschijven_Tranches salariale'!$Q23*0.4),4)*$X$1,2),ROUND(ROUND((Basisbedragen!$C$23*0.4),4)*$X$1,2)))</f>
        <v>40.72</v>
      </c>
      <c r="I25" s="316">
        <f t="shared" si="3"/>
        <v>39.75</v>
      </c>
      <c r="J25" s="316">
        <f t="shared" si="1"/>
        <v>39.75</v>
      </c>
      <c r="K25" s="316">
        <f t="shared" si="1"/>
        <v>39.75</v>
      </c>
      <c r="L25" s="316">
        <f t="shared" si="1"/>
        <v>39.75</v>
      </c>
      <c r="M25" s="161"/>
      <c r="N25" s="234">
        <f t="shared" si="6"/>
        <v>34.229999999999997</v>
      </c>
      <c r="O25" s="316">
        <f t="shared" si="4"/>
        <v>39.75</v>
      </c>
      <c r="P25" s="161"/>
      <c r="Q25" s="316">
        <f>IF(ROUND(ROUND(('Loonschijven_Tranches salariale'!$Q23*0.55),4)*$X$1,2)&lt;Q$8,Q$8,IF('Loonschijven_Tranches salariale'!$Q23&lt;Basisbedragen!$C$23,ROUND(ROUND(('Loonschijven_Tranches salariale'!$Q23*0.55),4)*$X$1,2),ROUND(ROUND((Basisbedragen!$C$23*0.55),4)*$X$1,2)))</f>
        <v>54.55</v>
      </c>
      <c r="R25" s="316">
        <f t="shared" si="2"/>
        <v>51.47</v>
      </c>
      <c r="S25" s="316">
        <f t="shared" si="2"/>
        <v>48.4</v>
      </c>
      <c r="T25" s="316">
        <f t="shared" si="2"/>
        <v>45.32</v>
      </c>
      <c r="U25" s="316">
        <f t="shared" si="2"/>
        <v>44.69</v>
      </c>
      <c r="V25" s="161"/>
      <c r="W25" s="234">
        <f>N25+ROUND(Basisbedragen!$C$57*$X$1,2)</f>
        <v>39.169999999999995</v>
      </c>
      <c r="X25" s="316">
        <f>O25+ROUND(Basisbedragen!$C$57*$X$1,2)</f>
        <v>44.69</v>
      </c>
      <c r="Y25" s="161"/>
    </row>
    <row r="26" spans="1:25" ht="15" hidden="1" outlineLevel="1" thickBot="1">
      <c r="A26" s="364">
        <f t="shared" si="5"/>
        <v>17</v>
      </c>
      <c r="C26" s="316">
        <f>IF(ROUND(ROUND(('Loonschijven_Tranches salariale'!$Q24*0.65),4)*$X$1,2)&lt;C$8,C$8,ROUND(ROUND(('Loonschijven_Tranches salariale'!$Q24*0.65),4)*$X$1,2))</f>
        <v>53.22</v>
      </c>
      <c r="D26" s="316">
        <f>IF(ROUND(ROUND(('Loonschijven_Tranches salariale'!$Q24*0.6),4)*$X$1,2)&lt;D$8,D$8,ROUND(ROUND(('Loonschijven_Tranches salariale'!$Q24*0.6),4)*$X$1,2))</f>
        <v>49.13</v>
      </c>
      <c r="E26" s="316">
        <f>IF(ROUND(ROUND(('Loonschijven_Tranches salariale'!$Q24*0.6),4)*$X$1,2)&lt;E$8,E$8,IF('Loonschijven_Tranches salariale'!$Q24&lt;Basisbedragen!$C$24,ROUND(ROUND(('Loonschijven_Tranches salariale'!$Q24*0.6),4)*$X$1,2),ROUND(ROUND((Basisbedragen!$C$24*0.6),4)*$X$1,2)))</f>
        <v>49.13</v>
      </c>
      <c r="F26" s="161"/>
      <c r="G26" s="316">
        <f>IF(ROUND(ROUND(('Loonschijven_Tranches salariale'!$Q24*0.6),4)*$X$1,2)&lt;G$8,G$8,IF('Loonschijven_Tranches salariale'!$Q24&lt;Basisbedragen!$C$23,ROUND(ROUND(('Loonschijven_Tranches salariale'!$Q24*0.6),4)*$X$1,2),ROUND(ROUND((Basisbedragen!$C$23*0.6),4)*$X$1,2)))</f>
        <v>49.13</v>
      </c>
      <c r="H26" s="316">
        <f>IF(ROUND(ROUND(('Loonschijven_Tranches salariale'!$Q24*0.4),4)*$X$1,2)&lt;H$8,H$8,IF('Loonschijven_Tranches salariale'!$Q24&lt;Basisbedragen!$C$23,ROUND(ROUND(('Loonschijven_Tranches salariale'!$Q24*0.4),4)*$X$1,2),ROUND(ROUND((Basisbedragen!$C$23*0.4),4)*$X$1,2)))</f>
        <v>40.72</v>
      </c>
      <c r="I26" s="316">
        <f t="shared" si="3"/>
        <v>39.75</v>
      </c>
      <c r="J26" s="316">
        <f t="shared" si="3"/>
        <v>39.75</v>
      </c>
      <c r="K26" s="316">
        <f t="shared" si="3"/>
        <v>39.75</v>
      </c>
      <c r="L26" s="316">
        <f t="shared" si="3"/>
        <v>39.75</v>
      </c>
      <c r="M26" s="161"/>
      <c r="N26" s="234">
        <f t="shared" si="6"/>
        <v>34.229999999999997</v>
      </c>
      <c r="O26" s="316">
        <f t="shared" si="4"/>
        <v>39.75</v>
      </c>
      <c r="P26" s="161"/>
      <c r="Q26" s="316">
        <f>IF(ROUND(ROUND(('Loonschijven_Tranches salariale'!$Q24*0.55),4)*$X$1,2)&lt;Q$8,Q$8,IF('Loonschijven_Tranches salariale'!$Q24&lt;Basisbedragen!$C$23,ROUND(ROUND(('Loonschijven_Tranches salariale'!$Q24*0.55),4)*$X$1,2),ROUND(ROUND((Basisbedragen!$C$23*0.55),4)*$X$1,2)))</f>
        <v>54.55</v>
      </c>
      <c r="R26" s="316">
        <f t="shared" si="2"/>
        <v>51.47</v>
      </c>
      <c r="S26" s="316">
        <f t="shared" si="2"/>
        <v>48.4</v>
      </c>
      <c r="T26" s="316">
        <f t="shared" si="2"/>
        <v>45.32</v>
      </c>
      <c r="U26" s="316">
        <f t="shared" si="2"/>
        <v>44.69</v>
      </c>
      <c r="V26" s="161"/>
      <c r="W26" s="234">
        <f>N26+ROUND(Basisbedragen!$C$57*$X$1,2)</f>
        <v>39.169999999999995</v>
      </c>
      <c r="X26" s="316">
        <f>O26+ROUND(Basisbedragen!$C$57*$X$1,2)</f>
        <v>44.69</v>
      </c>
      <c r="Y26" s="161"/>
    </row>
    <row r="27" spans="1:25" ht="15" hidden="1" outlineLevel="1" thickBot="1">
      <c r="A27" s="364">
        <f t="shared" si="5"/>
        <v>18</v>
      </c>
      <c r="C27" s="316">
        <f>IF(ROUND(ROUND(('Loonschijven_Tranches salariale'!$Q25*0.65),4)*$X$1,2)&lt;C$8,C$8,ROUND(ROUND(('Loonschijven_Tranches salariale'!$Q25*0.65),4)*$X$1,2))</f>
        <v>53.22</v>
      </c>
      <c r="D27" s="316">
        <f>IF(ROUND(ROUND(('Loonschijven_Tranches salariale'!$Q25*0.6),4)*$X$1,2)&lt;D$8,D$8,ROUND(ROUND(('Loonschijven_Tranches salariale'!$Q25*0.6),4)*$X$1,2))</f>
        <v>49.13</v>
      </c>
      <c r="E27" s="316">
        <f>IF(ROUND(ROUND(('Loonschijven_Tranches salariale'!$Q25*0.6),4)*$X$1,2)&lt;E$8,E$8,IF('Loonschijven_Tranches salariale'!$Q25&lt;Basisbedragen!$C$24,ROUND(ROUND(('Loonschijven_Tranches salariale'!$Q25*0.6),4)*$X$1,2),ROUND(ROUND((Basisbedragen!$C$24*0.6),4)*$X$1,2)))</f>
        <v>49.13</v>
      </c>
      <c r="F27" s="161"/>
      <c r="G27" s="316">
        <f>IF(ROUND(ROUND(('Loonschijven_Tranches salariale'!$Q25*0.6),4)*$X$1,2)&lt;G$8,G$8,IF('Loonschijven_Tranches salariale'!$Q25&lt;Basisbedragen!$C$23,ROUND(ROUND(('Loonschijven_Tranches salariale'!$Q25*0.6),4)*$X$1,2),ROUND(ROUND((Basisbedragen!$C$23*0.6),4)*$X$1,2)))</f>
        <v>49.13</v>
      </c>
      <c r="H27" s="316">
        <f>IF(ROUND(ROUND(('Loonschijven_Tranches salariale'!$Q25*0.4),4)*$X$1,2)&lt;H$8,H$8,IF('Loonschijven_Tranches salariale'!$Q25&lt;Basisbedragen!$C$23,ROUND(ROUND(('Loonschijven_Tranches salariale'!$Q25*0.4),4)*$X$1,2),ROUND(ROUND((Basisbedragen!$C$23*0.4),4)*$X$1,2)))</f>
        <v>40.72</v>
      </c>
      <c r="I27" s="316">
        <f t="shared" si="3"/>
        <v>39.75</v>
      </c>
      <c r="J27" s="316">
        <f t="shared" si="3"/>
        <v>39.75</v>
      </c>
      <c r="K27" s="316">
        <f t="shared" si="3"/>
        <v>39.75</v>
      </c>
      <c r="L27" s="316">
        <f t="shared" si="3"/>
        <v>39.75</v>
      </c>
      <c r="M27" s="161"/>
      <c r="N27" s="234">
        <f t="shared" si="6"/>
        <v>34.229999999999997</v>
      </c>
      <c r="O27" s="316">
        <f t="shared" si="4"/>
        <v>39.75</v>
      </c>
      <c r="P27" s="161"/>
      <c r="Q27" s="316">
        <f>IF(ROUND(ROUND(('Loonschijven_Tranches salariale'!$Q25*0.55),4)*$X$1,2)&lt;Q$8,Q$8,IF('Loonschijven_Tranches salariale'!$Q25&lt;Basisbedragen!$C$23,ROUND(ROUND(('Loonschijven_Tranches salariale'!$Q25*0.55),4)*$X$1,2),ROUND(ROUND((Basisbedragen!$C$23*0.55),4)*$X$1,2)))</f>
        <v>54.55</v>
      </c>
      <c r="R27" s="316">
        <f t="shared" si="2"/>
        <v>51.47</v>
      </c>
      <c r="S27" s="316">
        <f t="shared" si="2"/>
        <v>48.4</v>
      </c>
      <c r="T27" s="316">
        <f t="shared" si="2"/>
        <v>45.32</v>
      </c>
      <c r="U27" s="316">
        <f t="shared" si="2"/>
        <v>44.69</v>
      </c>
      <c r="V27" s="161"/>
      <c r="W27" s="234">
        <f>N27+ROUND(Basisbedragen!$C$57*$X$1,2)</f>
        <v>39.169999999999995</v>
      </c>
      <c r="X27" s="316">
        <f>O27+ROUND(Basisbedragen!$C$57*$X$1,2)</f>
        <v>44.69</v>
      </c>
      <c r="Y27" s="161"/>
    </row>
    <row r="28" spans="1:25" ht="15" hidden="1" outlineLevel="1" thickBot="1">
      <c r="A28" s="364">
        <f t="shared" si="5"/>
        <v>19</v>
      </c>
      <c r="C28" s="316">
        <f>IF(ROUND(ROUND(('Loonschijven_Tranches salariale'!$Q26*0.65),4)*$X$1,2)&lt;C$8,C$8,ROUND(ROUND(('Loonschijven_Tranches salariale'!$Q26*0.65),4)*$X$1,2))</f>
        <v>53.22</v>
      </c>
      <c r="D28" s="316">
        <f>IF(ROUND(ROUND(('Loonschijven_Tranches salariale'!$Q26*0.6),4)*$X$1,2)&lt;D$8,D$8,ROUND(ROUND(('Loonschijven_Tranches salariale'!$Q26*0.6),4)*$X$1,2))</f>
        <v>49.13</v>
      </c>
      <c r="E28" s="316">
        <f>IF(ROUND(ROUND(('Loonschijven_Tranches salariale'!$Q26*0.6),4)*$X$1,2)&lt;E$8,E$8,IF('Loonschijven_Tranches salariale'!$Q26&lt;Basisbedragen!$C$24,ROUND(ROUND(('Loonschijven_Tranches salariale'!$Q26*0.6),4)*$X$1,2),ROUND(ROUND((Basisbedragen!$C$24*0.6),4)*$X$1,2)))</f>
        <v>49.13</v>
      </c>
      <c r="F28" s="161"/>
      <c r="G28" s="316">
        <f>IF(ROUND(ROUND(('Loonschijven_Tranches salariale'!$Q26*0.6),4)*$X$1,2)&lt;G$8,G$8,IF('Loonschijven_Tranches salariale'!$Q26&lt;Basisbedragen!$C$23,ROUND(ROUND(('Loonschijven_Tranches salariale'!$Q26*0.6),4)*$X$1,2),ROUND(ROUND((Basisbedragen!$C$23*0.6),4)*$X$1,2)))</f>
        <v>49.13</v>
      </c>
      <c r="H28" s="316">
        <f>IF(ROUND(ROUND(('Loonschijven_Tranches salariale'!$Q26*0.4),4)*$X$1,2)&lt;H$8,H$8,IF('Loonschijven_Tranches salariale'!$Q26&lt;Basisbedragen!$C$23,ROUND(ROUND(('Loonschijven_Tranches salariale'!$Q26*0.4),4)*$X$1,2),ROUND(ROUND((Basisbedragen!$C$23*0.4),4)*$X$1,2)))</f>
        <v>40.72</v>
      </c>
      <c r="I28" s="316">
        <f t="shared" si="3"/>
        <v>39.75</v>
      </c>
      <c r="J28" s="316">
        <f t="shared" si="3"/>
        <v>39.75</v>
      </c>
      <c r="K28" s="316">
        <f t="shared" si="3"/>
        <v>39.75</v>
      </c>
      <c r="L28" s="316">
        <f t="shared" si="3"/>
        <v>39.75</v>
      </c>
      <c r="M28" s="161"/>
      <c r="N28" s="234">
        <f t="shared" si="6"/>
        <v>34.229999999999997</v>
      </c>
      <c r="O28" s="316">
        <f t="shared" si="4"/>
        <v>39.75</v>
      </c>
      <c r="P28" s="161"/>
      <c r="Q28" s="316">
        <f>IF(ROUND(ROUND(('Loonschijven_Tranches salariale'!$Q26*0.55),4)*$X$1,2)&lt;Q$8,Q$8,IF('Loonschijven_Tranches salariale'!$Q26&lt;Basisbedragen!$C$23,ROUND(ROUND(('Loonschijven_Tranches salariale'!$Q26*0.55),4)*$X$1,2),ROUND(ROUND((Basisbedragen!$C$23*0.55),4)*$X$1,2)))</f>
        <v>54.55</v>
      </c>
      <c r="R28" s="316">
        <f t="shared" si="2"/>
        <v>51.47</v>
      </c>
      <c r="S28" s="316">
        <f t="shared" si="2"/>
        <v>48.4</v>
      </c>
      <c r="T28" s="316">
        <f t="shared" si="2"/>
        <v>45.32</v>
      </c>
      <c r="U28" s="316">
        <f t="shared" si="2"/>
        <v>44.69</v>
      </c>
      <c r="V28" s="161"/>
      <c r="W28" s="234">
        <f>N28+ROUND(Basisbedragen!$C$57*$X$1,2)</f>
        <v>39.169999999999995</v>
      </c>
      <c r="X28" s="316">
        <f>O28+ROUND(Basisbedragen!$C$57*$X$1,2)</f>
        <v>44.69</v>
      </c>
      <c r="Y28" s="161"/>
    </row>
    <row r="29" spans="1:25" ht="15" hidden="1" outlineLevel="1" thickBot="1">
      <c r="A29" s="364">
        <f t="shared" si="5"/>
        <v>20</v>
      </c>
      <c r="C29" s="316">
        <f>IF(ROUND(ROUND(('Loonschijven_Tranches salariale'!$Q27*0.65),4)*$X$1,2)&lt;C$8,C$8,ROUND(ROUND(('Loonschijven_Tranches salariale'!$Q27*0.65),4)*$X$1,2))</f>
        <v>53.22</v>
      </c>
      <c r="D29" s="316">
        <f>IF(ROUND(ROUND(('Loonschijven_Tranches salariale'!$Q27*0.6),4)*$X$1,2)&lt;D$8,D$8,ROUND(ROUND(('Loonschijven_Tranches salariale'!$Q27*0.6),4)*$X$1,2))</f>
        <v>49.13</v>
      </c>
      <c r="E29" s="316">
        <f>IF(ROUND(ROUND(('Loonschijven_Tranches salariale'!$Q27*0.6),4)*$X$1,2)&lt;E$8,E$8,IF('Loonschijven_Tranches salariale'!$Q27&lt;Basisbedragen!$C$24,ROUND(ROUND(('Loonschijven_Tranches salariale'!$Q27*0.6),4)*$X$1,2),ROUND(ROUND((Basisbedragen!$C$24*0.6),4)*$X$1,2)))</f>
        <v>49.13</v>
      </c>
      <c r="F29" s="161"/>
      <c r="G29" s="316">
        <f>IF(ROUND(ROUND(('Loonschijven_Tranches salariale'!$Q27*0.6),4)*$X$1,2)&lt;G$8,G$8,IF('Loonschijven_Tranches salariale'!$Q27&lt;Basisbedragen!$C$23,ROUND(ROUND(('Loonschijven_Tranches salariale'!$Q27*0.6),4)*$X$1,2),ROUND(ROUND((Basisbedragen!$C$23*0.6),4)*$X$1,2)))</f>
        <v>49.13</v>
      </c>
      <c r="H29" s="316">
        <f>IF(ROUND(ROUND(('Loonschijven_Tranches salariale'!$Q27*0.4),4)*$X$1,2)&lt;H$8,H$8,IF('Loonschijven_Tranches salariale'!$Q27&lt;Basisbedragen!$C$23,ROUND(ROUND(('Loonschijven_Tranches salariale'!$Q27*0.4),4)*$X$1,2),ROUND(ROUND((Basisbedragen!$C$23*0.4),4)*$X$1,2)))</f>
        <v>40.72</v>
      </c>
      <c r="I29" s="316">
        <f t="shared" si="3"/>
        <v>39.75</v>
      </c>
      <c r="J29" s="316">
        <f t="shared" si="3"/>
        <v>39.75</v>
      </c>
      <c r="K29" s="316">
        <f t="shared" si="3"/>
        <v>39.75</v>
      </c>
      <c r="L29" s="316">
        <f t="shared" si="3"/>
        <v>39.75</v>
      </c>
      <c r="M29" s="161"/>
      <c r="N29" s="234">
        <f t="shared" si="6"/>
        <v>34.229999999999997</v>
      </c>
      <c r="O29" s="316">
        <f t="shared" si="4"/>
        <v>39.75</v>
      </c>
      <c r="P29" s="161"/>
      <c r="Q29" s="316">
        <f>IF(ROUND(ROUND(('Loonschijven_Tranches salariale'!$Q27*0.55),4)*$X$1,2)&lt;Q$8,Q$8,IF('Loonschijven_Tranches salariale'!$Q27&lt;Basisbedragen!$C$23,ROUND(ROUND(('Loonschijven_Tranches salariale'!$Q27*0.55),4)*$X$1,2),ROUND(ROUND((Basisbedragen!$C$23*0.55),4)*$X$1,2)))</f>
        <v>54.55</v>
      </c>
      <c r="R29" s="316">
        <f t="shared" si="2"/>
        <v>51.47</v>
      </c>
      <c r="S29" s="316">
        <f t="shared" si="2"/>
        <v>48.4</v>
      </c>
      <c r="T29" s="316">
        <f t="shared" si="2"/>
        <v>45.32</v>
      </c>
      <c r="U29" s="316">
        <f t="shared" si="2"/>
        <v>44.69</v>
      </c>
      <c r="V29" s="161"/>
      <c r="W29" s="234">
        <f>N29+ROUND(Basisbedragen!$C$57*$X$1,2)</f>
        <v>39.169999999999995</v>
      </c>
      <c r="X29" s="316">
        <f>O29+ROUND(Basisbedragen!$C$57*$X$1,2)</f>
        <v>44.69</v>
      </c>
      <c r="Y29" s="161"/>
    </row>
    <row r="30" spans="1:25" ht="15" hidden="1" outlineLevel="1" thickBot="1">
      <c r="A30" s="364">
        <f t="shared" si="5"/>
        <v>21</v>
      </c>
      <c r="C30" s="316">
        <f>IF(ROUND(ROUND(('Loonschijven_Tranches salariale'!$Q28*0.65),4)*$X$1,2)&lt;C$8,C$8,ROUND(ROUND(('Loonschijven_Tranches salariale'!$Q28*0.65),4)*$X$1,2))</f>
        <v>53.22</v>
      </c>
      <c r="D30" s="316">
        <f>IF(ROUND(ROUND(('Loonschijven_Tranches salariale'!$Q28*0.6),4)*$X$1,2)&lt;D$8,D$8,ROUND(ROUND(('Loonschijven_Tranches salariale'!$Q28*0.6),4)*$X$1,2))</f>
        <v>49.13</v>
      </c>
      <c r="E30" s="316">
        <f>IF(ROUND(ROUND(('Loonschijven_Tranches salariale'!$Q28*0.6),4)*$X$1,2)&lt;E$8,E$8,IF('Loonschijven_Tranches salariale'!$Q28&lt;Basisbedragen!$C$24,ROUND(ROUND(('Loonschijven_Tranches salariale'!$Q28*0.6),4)*$X$1,2),ROUND(ROUND((Basisbedragen!$C$24*0.6),4)*$X$1,2)))</f>
        <v>49.13</v>
      </c>
      <c r="F30" s="161"/>
      <c r="G30" s="316">
        <f>IF(ROUND(ROUND(('Loonschijven_Tranches salariale'!$Q28*0.6),4)*$X$1,2)&lt;G$8,G$8,IF('Loonschijven_Tranches salariale'!$Q28&lt;Basisbedragen!$C$23,ROUND(ROUND(('Loonschijven_Tranches salariale'!$Q28*0.6),4)*$X$1,2),ROUND(ROUND((Basisbedragen!$C$23*0.6),4)*$X$1,2)))</f>
        <v>49.13</v>
      </c>
      <c r="H30" s="316">
        <f>IF(ROUND(ROUND(('Loonschijven_Tranches salariale'!$Q28*0.4),4)*$X$1,2)&lt;H$8,H$8,IF('Loonschijven_Tranches salariale'!$Q28&lt;Basisbedragen!$C$23,ROUND(ROUND(('Loonschijven_Tranches salariale'!$Q28*0.4),4)*$X$1,2),ROUND(ROUND((Basisbedragen!$C$23*0.4),4)*$X$1,2)))</f>
        <v>40.72</v>
      </c>
      <c r="I30" s="316">
        <f t="shared" si="3"/>
        <v>39.75</v>
      </c>
      <c r="J30" s="316">
        <f t="shared" si="3"/>
        <v>39.75</v>
      </c>
      <c r="K30" s="316">
        <f t="shared" si="3"/>
        <v>39.75</v>
      </c>
      <c r="L30" s="316">
        <f t="shared" si="3"/>
        <v>39.75</v>
      </c>
      <c r="M30" s="161"/>
      <c r="N30" s="234">
        <f t="shared" si="6"/>
        <v>34.229999999999997</v>
      </c>
      <c r="O30" s="316">
        <f t="shared" si="4"/>
        <v>39.75</v>
      </c>
      <c r="P30" s="161"/>
      <c r="Q30" s="316">
        <f>IF(ROUND(ROUND(('Loonschijven_Tranches salariale'!$Q28*0.55),4)*$X$1,2)&lt;Q$8,Q$8,IF('Loonschijven_Tranches salariale'!$Q28&lt;Basisbedragen!$C$23,ROUND(ROUND(('Loonschijven_Tranches salariale'!$Q28*0.55),4)*$X$1,2),ROUND(ROUND((Basisbedragen!$C$23*0.55),4)*$X$1,2)))</f>
        <v>54.55</v>
      </c>
      <c r="R30" s="316">
        <f t="shared" ref="R30:U49" si="7">IF(ROUND($Q30-(R$6*($Q30-$W30)/5),2)&lt;$X30,$X30,ROUND($Q30-(R$6*($Q30-$W30)/5),2))</f>
        <v>51.47</v>
      </c>
      <c r="S30" s="316">
        <f t="shared" si="7"/>
        <v>48.4</v>
      </c>
      <c r="T30" s="316">
        <f t="shared" si="7"/>
        <v>45.32</v>
      </c>
      <c r="U30" s="316">
        <f t="shared" si="7"/>
        <v>44.69</v>
      </c>
      <c r="V30" s="161"/>
      <c r="W30" s="234">
        <f>N30+ROUND(Basisbedragen!$C$57*$X$1,2)</f>
        <v>39.169999999999995</v>
      </c>
      <c r="X30" s="316">
        <f>O30+ROUND(Basisbedragen!$C$57*$X$1,2)</f>
        <v>44.69</v>
      </c>
      <c r="Y30" s="161"/>
    </row>
    <row r="31" spans="1:25" ht="15" hidden="1" outlineLevel="1" thickBot="1">
      <c r="A31" s="364">
        <f t="shared" si="5"/>
        <v>22</v>
      </c>
      <c r="C31" s="316">
        <f>IF(ROUND(ROUND(('Loonschijven_Tranches salariale'!$Q29*0.65),4)*$X$1,2)&lt;C$8,C$8,ROUND(ROUND(('Loonschijven_Tranches salariale'!$Q29*0.65),4)*$X$1,2))</f>
        <v>53.22</v>
      </c>
      <c r="D31" s="316">
        <f>IF(ROUND(ROUND(('Loonschijven_Tranches salariale'!$Q29*0.6),4)*$X$1,2)&lt;D$8,D$8,ROUND(ROUND(('Loonschijven_Tranches salariale'!$Q29*0.6),4)*$X$1,2))</f>
        <v>49.13</v>
      </c>
      <c r="E31" s="316">
        <f>IF(ROUND(ROUND(('Loonschijven_Tranches salariale'!$Q29*0.6),4)*$X$1,2)&lt;E$8,E$8,IF('Loonschijven_Tranches salariale'!$Q29&lt;Basisbedragen!$C$24,ROUND(ROUND(('Loonschijven_Tranches salariale'!$Q29*0.6),4)*$X$1,2),ROUND(ROUND((Basisbedragen!$C$24*0.6),4)*$X$1,2)))</f>
        <v>49.13</v>
      </c>
      <c r="F31" s="161"/>
      <c r="G31" s="316">
        <f>IF(ROUND(ROUND(('Loonschijven_Tranches salariale'!$Q29*0.6),4)*$X$1,2)&lt;G$8,G$8,IF('Loonschijven_Tranches salariale'!$Q29&lt;Basisbedragen!$C$23,ROUND(ROUND(('Loonschijven_Tranches salariale'!$Q29*0.6),4)*$X$1,2),ROUND(ROUND((Basisbedragen!$C$23*0.6),4)*$X$1,2)))</f>
        <v>49.13</v>
      </c>
      <c r="H31" s="316">
        <f>IF(ROUND(ROUND(('Loonschijven_Tranches salariale'!$Q29*0.4),4)*$X$1,2)&lt;H$8,H$8,IF('Loonschijven_Tranches salariale'!$Q29&lt;Basisbedragen!$C$23,ROUND(ROUND(('Loonschijven_Tranches salariale'!$Q29*0.4),4)*$X$1,2),ROUND(ROUND((Basisbedragen!$C$23*0.4),4)*$X$1,2)))</f>
        <v>40.72</v>
      </c>
      <c r="I31" s="316">
        <f t="shared" si="3"/>
        <v>39.75</v>
      </c>
      <c r="J31" s="316">
        <f t="shared" si="3"/>
        <v>39.75</v>
      </c>
      <c r="K31" s="316">
        <f t="shared" si="3"/>
        <v>39.75</v>
      </c>
      <c r="L31" s="316">
        <f t="shared" si="3"/>
        <v>39.75</v>
      </c>
      <c r="M31" s="161"/>
      <c r="N31" s="234">
        <f t="shared" si="6"/>
        <v>34.229999999999997</v>
      </c>
      <c r="O31" s="316">
        <f t="shared" si="4"/>
        <v>39.75</v>
      </c>
      <c r="P31" s="161"/>
      <c r="Q31" s="316">
        <f>IF(ROUND(ROUND(('Loonschijven_Tranches salariale'!$Q29*0.55),4)*$X$1,2)&lt;Q$8,Q$8,IF('Loonschijven_Tranches salariale'!$Q29&lt;Basisbedragen!$C$23,ROUND(ROUND(('Loonschijven_Tranches salariale'!$Q29*0.55),4)*$X$1,2),ROUND(ROUND((Basisbedragen!$C$23*0.55),4)*$X$1,2)))</f>
        <v>54.55</v>
      </c>
      <c r="R31" s="316">
        <f t="shared" si="7"/>
        <v>51.47</v>
      </c>
      <c r="S31" s="316">
        <f t="shared" si="7"/>
        <v>48.4</v>
      </c>
      <c r="T31" s="316">
        <f t="shared" si="7"/>
        <v>45.32</v>
      </c>
      <c r="U31" s="316">
        <f t="shared" si="7"/>
        <v>44.69</v>
      </c>
      <c r="V31" s="161"/>
      <c r="W31" s="234">
        <f>N31+ROUND(Basisbedragen!$C$57*$X$1,2)</f>
        <v>39.169999999999995</v>
      </c>
      <c r="X31" s="316">
        <f>O31+ROUND(Basisbedragen!$C$57*$X$1,2)</f>
        <v>44.69</v>
      </c>
      <c r="Y31" s="161"/>
    </row>
    <row r="32" spans="1:25" ht="15" hidden="1" outlineLevel="1" thickBot="1">
      <c r="A32" s="364">
        <f t="shared" si="5"/>
        <v>23</v>
      </c>
      <c r="C32" s="316">
        <f>IF(ROUND(ROUND(('Loonschijven_Tranches salariale'!$Q30*0.65),4)*$X$1,2)&lt;C$8,C$8,ROUND(ROUND(('Loonschijven_Tranches salariale'!$Q30*0.65),4)*$X$1,2))</f>
        <v>53.22</v>
      </c>
      <c r="D32" s="316">
        <f>IF(ROUND(ROUND(('Loonschijven_Tranches salariale'!$Q30*0.6),4)*$X$1,2)&lt;D$8,D$8,ROUND(ROUND(('Loonschijven_Tranches salariale'!$Q30*0.6),4)*$X$1,2))</f>
        <v>49.13</v>
      </c>
      <c r="E32" s="316">
        <f>IF(ROUND(ROUND(('Loonschijven_Tranches salariale'!$Q30*0.6),4)*$X$1,2)&lt;E$8,E$8,IF('Loonschijven_Tranches salariale'!$Q30&lt;Basisbedragen!$C$24,ROUND(ROUND(('Loonschijven_Tranches salariale'!$Q30*0.6),4)*$X$1,2),ROUND(ROUND((Basisbedragen!$C$24*0.6),4)*$X$1,2)))</f>
        <v>49.13</v>
      </c>
      <c r="F32" s="161"/>
      <c r="G32" s="316">
        <f>IF(ROUND(ROUND(('Loonschijven_Tranches salariale'!$Q30*0.6),4)*$X$1,2)&lt;G$8,G$8,IF('Loonschijven_Tranches salariale'!$Q30&lt;Basisbedragen!$C$23,ROUND(ROUND(('Loonschijven_Tranches salariale'!$Q30*0.6),4)*$X$1,2),ROUND(ROUND((Basisbedragen!$C$23*0.6),4)*$X$1,2)))</f>
        <v>49.13</v>
      </c>
      <c r="H32" s="316">
        <f>IF(ROUND(ROUND(('Loonschijven_Tranches salariale'!$Q30*0.4),4)*$X$1,2)&lt;H$8,H$8,IF('Loonschijven_Tranches salariale'!$Q30&lt;Basisbedragen!$C$23,ROUND(ROUND(('Loonschijven_Tranches salariale'!$Q30*0.4),4)*$X$1,2),ROUND(ROUND((Basisbedragen!$C$23*0.4),4)*$X$1,2)))</f>
        <v>40.72</v>
      </c>
      <c r="I32" s="316">
        <f t="shared" si="3"/>
        <v>39.75</v>
      </c>
      <c r="J32" s="316">
        <f t="shared" si="3"/>
        <v>39.75</v>
      </c>
      <c r="K32" s="316">
        <f t="shared" si="3"/>
        <v>39.75</v>
      </c>
      <c r="L32" s="316">
        <f t="shared" si="3"/>
        <v>39.75</v>
      </c>
      <c r="M32" s="161"/>
      <c r="N32" s="234">
        <f t="shared" si="6"/>
        <v>34.229999999999997</v>
      </c>
      <c r="O32" s="316">
        <f t="shared" si="4"/>
        <v>39.75</v>
      </c>
      <c r="P32" s="161"/>
      <c r="Q32" s="316">
        <f>IF(ROUND(ROUND(('Loonschijven_Tranches salariale'!$Q30*0.55),4)*$X$1,2)&lt;Q$8,Q$8,IF('Loonschijven_Tranches salariale'!$Q30&lt;Basisbedragen!$C$23,ROUND(ROUND(('Loonschijven_Tranches salariale'!$Q30*0.55),4)*$X$1,2),ROUND(ROUND((Basisbedragen!$C$23*0.55),4)*$X$1,2)))</f>
        <v>54.55</v>
      </c>
      <c r="R32" s="316">
        <f t="shared" si="7"/>
        <v>51.47</v>
      </c>
      <c r="S32" s="316">
        <f t="shared" si="7"/>
        <v>48.4</v>
      </c>
      <c r="T32" s="316">
        <f t="shared" si="7"/>
        <v>45.32</v>
      </c>
      <c r="U32" s="316">
        <f t="shared" si="7"/>
        <v>44.69</v>
      </c>
      <c r="V32" s="161"/>
      <c r="W32" s="234">
        <f>N32+ROUND(Basisbedragen!$C$57*$X$1,2)</f>
        <v>39.169999999999995</v>
      </c>
      <c r="X32" s="316">
        <f>O32+ROUND(Basisbedragen!$C$57*$X$1,2)</f>
        <v>44.69</v>
      </c>
      <c r="Y32" s="161"/>
    </row>
    <row r="33" spans="1:25" ht="15" hidden="1" outlineLevel="1" thickBot="1">
      <c r="A33" s="364">
        <f t="shared" si="5"/>
        <v>24</v>
      </c>
      <c r="C33" s="316">
        <f>IF(ROUND(ROUND(('Loonschijven_Tranches salariale'!$Q31*0.65),4)*$X$1,2)&lt;C$8,C$8,ROUND(ROUND(('Loonschijven_Tranches salariale'!$Q31*0.65),4)*$X$1,2))</f>
        <v>53.22</v>
      </c>
      <c r="D33" s="316">
        <f>IF(ROUND(ROUND(('Loonschijven_Tranches salariale'!$Q31*0.6),4)*$X$1,2)&lt;D$8,D$8,ROUND(ROUND(('Loonschijven_Tranches salariale'!$Q31*0.6),4)*$X$1,2))</f>
        <v>49.13</v>
      </c>
      <c r="E33" s="316">
        <f>IF(ROUND(ROUND(('Loonschijven_Tranches salariale'!$Q31*0.6),4)*$X$1,2)&lt;E$8,E$8,IF('Loonschijven_Tranches salariale'!$Q31&lt;Basisbedragen!$C$24,ROUND(ROUND(('Loonschijven_Tranches salariale'!$Q31*0.6),4)*$X$1,2),ROUND(ROUND((Basisbedragen!$C$24*0.6),4)*$X$1,2)))</f>
        <v>49.13</v>
      </c>
      <c r="F33" s="161"/>
      <c r="G33" s="316">
        <f>IF(ROUND(ROUND(('Loonschijven_Tranches salariale'!$Q31*0.6),4)*$X$1,2)&lt;G$8,G$8,IF('Loonschijven_Tranches salariale'!$Q31&lt;Basisbedragen!$C$23,ROUND(ROUND(('Loonschijven_Tranches salariale'!$Q31*0.6),4)*$X$1,2),ROUND(ROUND((Basisbedragen!$C$23*0.6),4)*$X$1,2)))</f>
        <v>49.13</v>
      </c>
      <c r="H33" s="316">
        <f>IF(ROUND(ROUND(('Loonschijven_Tranches salariale'!$Q31*0.4),4)*$X$1,2)&lt;H$8,H$8,IF('Loonschijven_Tranches salariale'!$Q31&lt;Basisbedragen!$C$23,ROUND(ROUND(('Loonschijven_Tranches salariale'!$Q31*0.4),4)*$X$1,2),ROUND(ROUND((Basisbedragen!$C$23*0.4),4)*$X$1,2)))</f>
        <v>40.72</v>
      </c>
      <c r="I33" s="316">
        <f t="shared" si="3"/>
        <v>39.75</v>
      </c>
      <c r="J33" s="316">
        <f t="shared" si="3"/>
        <v>39.75</v>
      </c>
      <c r="K33" s="316">
        <f t="shared" si="3"/>
        <v>39.75</v>
      </c>
      <c r="L33" s="316">
        <f t="shared" si="3"/>
        <v>39.75</v>
      </c>
      <c r="M33" s="161"/>
      <c r="N33" s="234">
        <f t="shared" si="6"/>
        <v>34.229999999999997</v>
      </c>
      <c r="O33" s="316">
        <f t="shared" si="4"/>
        <v>39.75</v>
      </c>
      <c r="P33" s="161"/>
      <c r="Q33" s="316">
        <f>IF(ROUND(ROUND(('Loonschijven_Tranches salariale'!$Q31*0.55),4)*$X$1,2)&lt;Q$8,Q$8,IF('Loonschijven_Tranches salariale'!$Q31&lt;Basisbedragen!$C$23,ROUND(ROUND(('Loonschijven_Tranches salariale'!$Q31*0.55),4)*$X$1,2),ROUND(ROUND((Basisbedragen!$C$23*0.55),4)*$X$1,2)))</f>
        <v>54.55</v>
      </c>
      <c r="R33" s="316">
        <f t="shared" si="7"/>
        <v>51.47</v>
      </c>
      <c r="S33" s="316">
        <f t="shared" si="7"/>
        <v>48.4</v>
      </c>
      <c r="T33" s="316">
        <f t="shared" si="7"/>
        <v>45.32</v>
      </c>
      <c r="U33" s="316">
        <f t="shared" si="7"/>
        <v>44.69</v>
      </c>
      <c r="V33" s="161"/>
      <c r="W33" s="234">
        <f>N33+ROUND(Basisbedragen!$C$57*$X$1,2)</f>
        <v>39.169999999999995</v>
      </c>
      <c r="X33" s="316">
        <f>O33+ROUND(Basisbedragen!$C$57*$X$1,2)</f>
        <v>44.69</v>
      </c>
      <c r="Y33" s="161"/>
    </row>
    <row r="34" spans="1:25" ht="15" hidden="1" outlineLevel="1" thickBot="1">
      <c r="A34" s="364">
        <f t="shared" si="5"/>
        <v>25</v>
      </c>
      <c r="C34" s="316">
        <f>IF(ROUND(ROUND(('Loonschijven_Tranches salariale'!$Q32*0.65),4)*$X$1,2)&lt;C$8,C$8,ROUND(ROUND(('Loonschijven_Tranches salariale'!$Q32*0.65),4)*$X$1,2))</f>
        <v>53.22</v>
      </c>
      <c r="D34" s="316">
        <f>IF(ROUND(ROUND(('Loonschijven_Tranches salariale'!$Q32*0.6),4)*$X$1,2)&lt;D$8,D$8,ROUND(ROUND(('Loonschijven_Tranches salariale'!$Q32*0.6),4)*$X$1,2))</f>
        <v>49.13</v>
      </c>
      <c r="E34" s="316">
        <f>IF(ROUND(ROUND(('Loonschijven_Tranches salariale'!$Q32*0.6),4)*$X$1,2)&lt;E$8,E$8,IF('Loonschijven_Tranches salariale'!$Q32&lt;Basisbedragen!$C$24,ROUND(ROUND(('Loonschijven_Tranches salariale'!$Q32*0.6),4)*$X$1,2),ROUND(ROUND((Basisbedragen!$C$24*0.6),4)*$X$1,2)))</f>
        <v>49.13</v>
      </c>
      <c r="F34" s="161"/>
      <c r="G34" s="316">
        <f>IF(ROUND(ROUND(('Loonschijven_Tranches salariale'!$Q32*0.6),4)*$X$1,2)&lt;G$8,G$8,IF('Loonschijven_Tranches salariale'!$Q32&lt;Basisbedragen!$C$23,ROUND(ROUND(('Loonschijven_Tranches salariale'!$Q32*0.6),4)*$X$1,2),ROUND(ROUND((Basisbedragen!$C$23*0.6),4)*$X$1,2)))</f>
        <v>49.13</v>
      </c>
      <c r="H34" s="316">
        <f>IF(ROUND(ROUND(('Loonschijven_Tranches salariale'!$Q32*0.4),4)*$X$1,2)&lt;H$8,H$8,IF('Loonschijven_Tranches salariale'!$Q32&lt;Basisbedragen!$C$23,ROUND(ROUND(('Loonschijven_Tranches salariale'!$Q32*0.4),4)*$X$1,2),ROUND(ROUND((Basisbedragen!$C$23*0.4),4)*$X$1,2)))</f>
        <v>40.72</v>
      </c>
      <c r="I34" s="316">
        <f t="shared" si="3"/>
        <v>39.75</v>
      </c>
      <c r="J34" s="316">
        <f t="shared" si="3"/>
        <v>39.75</v>
      </c>
      <c r="K34" s="316">
        <f t="shared" si="3"/>
        <v>39.75</v>
      </c>
      <c r="L34" s="316">
        <f t="shared" si="3"/>
        <v>39.75</v>
      </c>
      <c r="M34" s="161"/>
      <c r="N34" s="234">
        <f t="shared" si="6"/>
        <v>34.229999999999997</v>
      </c>
      <c r="O34" s="316">
        <f t="shared" si="4"/>
        <v>39.75</v>
      </c>
      <c r="P34" s="161"/>
      <c r="Q34" s="316">
        <f>IF(ROUND(ROUND(('Loonschijven_Tranches salariale'!$Q32*0.55),4)*$X$1,2)&lt;Q$8,Q$8,IF('Loonschijven_Tranches salariale'!$Q32&lt;Basisbedragen!$C$23,ROUND(ROUND(('Loonschijven_Tranches salariale'!$Q32*0.55),4)*$X$1,2),ROUND(ROUND((Basisbedragen!$C$23*0.55),4)*$X$1,2)))</f>
        <v>54.55</v>
      </c>
      <c r="R34" s="316">
        <f t="shared" si="7"/>
        <v>51.47</v>
      </c>
      <c r="S34" s="316">
        <f t="shared" si="7"/>
        <v>48.4</v>
      </c>
      <c r="T34" s="316">
        <f t="shared" si="7"/>
        <v>45.32</v>
      </c>
      <c r="U34" s="316">
        <f t="shared" si="7"/>
        <v>44.69</v>
      </c>
      <c r="V34" s="161"/>
      <c r="W34" s="234">
        <f>N34+ROUND(Basisbedragen!$C$57*$X$1,2)</f>
        <v>39.169999999999995</v>
      </c>
      <c r="X34" s="316">
        <f>O34+ROUND(Basisbedragen!$C$57*$X$1,2)</f>
        <v>44.69</v>
      </c>
      <c r="Y34" s="161"/>
    </row>
    <row r="35" spans="1:25" ht="15" hidden="1" outlineLevel="1" thickBot="1">
      <c r="A35" s="364">
        <f t="shared" si="5"/>
        <v>26</v>
      </c>
      <c r="C35" s="316">
        <f>IF(ROUND(ROUND(('Loonschijven_Tranches salariale'!$Q33*0.65),4)*$X$1,2)&lt;C$8,C$8,ROUND(ROUND(('Loonschijven_Tranches salariale'!$Q33*0.65),4)*$X$1,2))</f>
        <v>53.22</v>
      </c>
      <c r="D35" s="316">
        <f>IF(ROUND(ROUND(('Loonschijven_Tranches salariale'!$Q33*0.6),4)*$X$1,2)&lt;D$8,D$8,ROUND(ROUND(('Loonschijven_Tranches salariale'!$Q33*0.6),4)*$X$1,2))</f>
        <v>49.13</v>
      </c>
      <c r="E35" s="316">
        <f>IF(ROUND(ROUND(('Loonschijven_Tranches salariale'!$Q33*0.6),4)*$X$1,2)&lt;E$8,E$8,IF('Loonschijven_Tranches salariale'!$Q33&lt;Basisbedragen!$C$24,ROUND(ROUND(('Loonschijven_Tranches salariale'!$Q33*0.6),4)*$X$1,2),ROUND(ROUND((Basisbedragen!$C$24*0.6),4)*$X$1,2)))</f>
        <v>49.13</v>
      </c>
      <c r="F35" s="161"/>
      <c r="G35" s="316">
        <f>IF(ROUND(ROUND(('Loonschijven_Tranches salariale'!$Q33*0.6),4)*$X$1,2)&lt;G$8,G$8,IF('Loonschijven_Tranches salariale'!$Q33&lt;Basisbedragen!$C$23,ROUND(ROUND(('Loonschijven_Tranches salariale'!$Q33*0.6),4)*$X$1,2),ROUND(ROUND((Basisbedragen!$C$23*0.6),4)*$X$1,2)))</f>
        <v>49.13</v>
      </c>
      <c r="H35" s="316">
        <f>IF(ROUND(ROUND(('Loonschijven_Tranches salariale'!$Q33*0.4),4)*$X$1,2)&lt;H$8,H$8,IF('Loonschijven_Tranches salariale'!$Q33&lt;Basisbedragen!$C$23,ROUND(ROUND(('Loonschijven_Tranches salariale'!$Q33*0.4),4)*$X$1,2),ROUND(ROUND((Basisbedragen!$C$23*0.4),4)*$X$1,2)))</f>
        <v>40.72</v>
      </c>
      <c r="I35" s="316">
        <f t="shared" si="3"/>
        <v>39.75</v>
      </c>
      <c r="J35" s="316">
        <f t="shared" si="3"/>
        <v>39.75</v>
      </c>
      <c r="K35" s="316">
        <f t="shared" si="3"/>
        <v>39.75</v>
      </c>
      <c r="L35" s="316">
        <f t="shared" si="3"/>
        <v>39.75</v>
      </c>
      <c r="M35" s="161"/>
      <c r="N35" s="234">
        <f t="shared" si="6"/>
        <v>34.229999999999997</v>
      </c>
      <c r="O35" s="316">
        <f t="shared" si="4"/>
        <v>39.75</v>
      </c>
      <c r="P35" s="161"/>
      <c r="Q35" s="316">
        <f>IF(ROUND(ROUND(('Loonschijven_Tranches salariale'!$Q33*0.55),4)*$X$1,2)&lt;Q$8,Q$8,IF('Loonschijven_Tranches salariale'!$Q33&lt;Basisbedragen!$C$23,ROUND(ROUND(('Loonschijven_Tranches salariale'!$Q33*0.55),4)*$X$1,2),ROUND(ROUND((Basisbedragen!$C$23*0.55),4)*$X$1,2)))</f>
        <v>54.55</v>
      </c>
      <c r="R35" s="316">
        <f t="shared" si="7"/>
        <v>51.47</v>
      </c>
      <c r="S35" s="316">
        <f t="shared" si="7"/>
        <v>48.4</v>
      </c>
      <c r="T35" s="316">
        <f t="shared" si="7"/>
        <v>45.32</v>
      </c>
      <c r="U35" s="316">
        <f t="shared" si="7"/>
        <v>44.69</v>
      </c>
      <c r="V35" s="161"/>
      <c r="W35" s="234">
        <f>N35+ROUND(Basisbedragen!$C$57*$X$1,2)</f>
        <v>39.169999999999995</v>
      </c>
      <c r="X35" s="316">
        <f>O35+ROUND(Basisbedragen!$C$57*$X$1,2)</f>
        <v>44.69</v>
      </c>
      <c r="Y35" s="161"/>
    </row>
    <row r="36" spans="1:25" ht="15" hidden="1" outlineLevel="1" thickBot="1">
      <c r="A36" s="364">
        <f t="shared" si="5"/>
        <v>27</v>
      </c>
      <c r="C36" s="316">
        <f>IF(ROUND(ROUND(('Loonschijven_Tranches salariale'!$Q34*0.65),4)*$X$1,2)&lt;C$8,C$8,ROUND(ROUND(('Loonschijven_Tranches salariale'!$Q34*0.65),4)*$X$1,2))</f>
        <v>53.22</v>
      </c>
      <c r="D36" s="316">
        <f>IF(ROUND(ROUND(('Loonschijven_Tranches salariale'!$Q34*0.6),4)*$X$1,2)&lt;D$8,D$8,ROUND(ROUND(('Loonschijven_Tranches salariale'!$Q34*0.6),4)*$X$1,2))</f>
        <v>49.13</v>
      </c>
      <c r="E36" s="316">
        <f>IF(ROUND(ROUND(('Loonschijven_Tranches salariale'!$Q34*0.6),4)*$X$1,2)&lt;E$8,E$8,IF('Loonschijven_Tranches salariale'!$Q34&lt;Basisbedragen!$C$24,ROUND(ROUND(('Loonschijven_Tranches salariale'!$Q34*0.6),4)*$X$1,2),ROUND(ROUND((Basisbedragen!$C$24*0.6),4)*$X$1,2)))</f>
        <v>49.13</v>
      </c>
      <c r="F36" s="161"/>
      <c r="G36" s="316">
        <f>IF(ROUND(ROUND(('Loonschijven_Tranches salariale'!$Q34*0.6),4)*$X$1,2)&lt;G$8,G$8,IF('Loonschijven_Tranches salariale'!$Q34&lt;Basisbedragen!$C$23,ROUND(ROUND(('Loonschijven_Tranches salariale'!$Q34*0.6),4)*$X$1,2),ROUND(ROUND((Basisbedragen!$C$23*0.6),4)*$X$1,2)))</f>
        <v>49.13</v>
      </c>
      <c r="H36" s="316">
        <f>IF(ROUND(ROUND(('Loonschijven_Tranches salariale'!$Q34*0.4),4)*$X$1,2)&lt;H$8,H$8,IF('Loonschijven_Tranches salariale'!$Q34&lt;Basisbedragen!$C$23,ROUND(ROUND(('Loonschijven_Tranches salariale'!$Q34*0.4),4)*$X$1,2),ROUND(ROUND((Basisbedragen!$C$23*0.4),4)*$X$1,2)))</f>
        <v>40.72</v>
      </c>
      <c r="I36" s="316">
        <f t="shared" si="3"/>
        <v>39.75</v>
      </c>
      <c r="J36" s="316">
        <f t="shared" si="3"/>
        <v>39.75</v>
      </c>
      <c r="K36" s="316">
        <f t="shared" si="3"/>
        <v>39.75</v>
      </c>
      <c r="L36" s="316">
        <f t="shared" si="3"/>
        <v>39.75</v>
      </c>
      <c r="M36" s="161"/>
      <c r="N36" s="234">
        <f t="shared" si="6"/>
        <v>34.229999999999997</v>
      </c>
      <c r="O36" s="316">
        <f>$I$9</f>
        <v>39.75</v>
      </c>
      <c r="P36" s="161"/>
      <c r="Q36" s="316">
        <f>IF(ROUND(ROUND(('Loonschijven_Tranches salariale'!$Q34*0.55),4)*$X$1,2)&lt;Q$8,Q$8,IF('Loonschijven_Tranches salariale'!$Q34&lt;Basisbedragen!$C$23,ROUND(ROUND(('Loonschijven_Tranches salariale'!$Q34*0.55),4)*$X$1,2),ROUND(ROUND((Basisbedragen!$C$23*0.55),4)*$X$1,2)))</f>
        <v>54.55</v>
      </c>
      <c r="R36" s="316">
        <f t="shared" si="7"/>
        <v>51.47</v>
      </c>
      <c r="S36" s="316">
        <f t="shared" si="7"/>
        <v>48.4</v>
      </c>
      <c r="T36" s="316">
        <f t="shared" si="7"/>
        <v>45.32</v>
      </c>
      <c r="U36" s="316">
        <f t="shared" si="7"/>
        <v>44.69</v>
      </c>
      <c r="V36" s="161"/>
      <c r="W36" s="234">
        <f>N36+ROUND(Basisbedragen!$C$57*$X$1,2)</f>
        <v>39.169999999999995</v>
      </c>
      <c r="X36" s="316">
        <f>O36+ROUND(Basisbedragen!$C$57*$X$1,2)</f>
        <v>44.69</v>
      </c>
      <c r="Y36" s="161"/>
    </row>
    <row r="37" spans="1:25" ht="15" hidden="1" outlineLevel="1" thickBot="1">
      <c r="A37" s="364">
        <f t="shared" si="5"/>
        <v>28</v>
      </c>
      <c r="C37" s="316">
        <f>IF(ROUND(ROUND(('Loonschijven_Tranches salariale'!$Q35*0.65),4)*$X$1,2)&lt;C$8,C$8,ROUND(ROUND(('Loonschijven_Tranches salariale'!$Q35*0.65),4)*$X$1,2))</f>
        <v>53.22</v>
      </c>
      <c r="D37" s="316">
        <f>IF(ROUND(ROUND(('Loonschijven_Tranches salariale'!$Q35*0.6),4)*$X$1,2)&lt;D$8,D$8,ROUND(ROUND(('Loonschijven_Tranches salariale'!$Q35*0.6),4)*$X$1,2))</f>
        <v>49.13</v>
      </c>
      <c r="E37" s="316">
        <f>IF(ROUND(ROUND(('Loonschijven_Tranches salariale'!$Q35*0.6),4)*$X$1,2)&lt;E$8,E$8,IF('Loonschijven_Tranches salariale'!$Q35&lt;Basisbedragen!$C$24,ROUND(ROUND(('Loonschijven_Tranches salariale'!$Q35*0.6),4)*$X$1,2),ROUND(ROUND((Basisbedragen!$C$24*0.6),4)*$X$1,2)))</f>
        <v>49.13</v>
      </c>
      <c r="F37" s="161"/>
      <c r="G37" s="316">
        <f>IF(ROUND(ROUND(('Loonschijven_Tranches salariale'!$Q35*0.6),4)*$X$1,2)&lt;G$8,G$8,IF('Loonschijven_Tranches salariale'!$Q35&lt;Basisbedragen!$C$23,ROUND(ROUND(('Loonschijven_Tranches salariale'!$Q35*0.6),4)*$X$1,2),ROUND(ROUND((Basisbedragen!$C$23*0.6),4)*$X$1,2)))</f>
        <v>49.13</v>
      </c>
      <c r="H37" s="316">
        <f>IF(ROUND(ROUND(('Loonschijven_Tranches salariale'!$Q35*0.4),4)*$X$1,2)&lt;H$8,H$8,IF('Loonschijven_Tranches salariale'!$Q35&lt;Basisbedragen!$C$23,ROUND(ROUND(('Loonschijven_Tranches salariale'!$Q35*0.4),4)*$X$1,2),ROUND(ROUND((Basisbedragen!$C$23*0.4),4)*$X$1,2)))</f>
        <v>40.72</v>
      </c>
      <c r="I37" s="316">
        <f t="shared" si="3"/>
        <v>39.75</v>
      </c>
      <c r="J37" s="316">
        <f t="shared" si="3"/>
        <v>39.75</v>
      </c>
      <c r="K37" s="316">
        <f t="shared" si="3"/>
        <v>39.75</v>
      </c>
      <c r="L37" s="316">
        <f t="shared" si="3"/>
        <v>39.75</v>
      </c>
      <c r="M37" s="161"/>
      <c r="N37" s="234">
        <f t="shared" si="6"/>
        <v>34.229999999999997</v>
      </c>
      <c r="O37" s="316">
        <f t="shared" si="4"/>
        <v>39.75</v>
      </c>
      <c r="P37" s="161"/>
      <c r="Q37" s="316">
        <f>IF(ROUND(ROUND(('Loonschijven_Tranches salariale'!$Q35*0.55),4)*$X$1,2)&lt;Q$8,Q$8,IF('Loonschijven_Tranches salariale'!$Q35&lt;Basisbedragen!$C$23,ROUND(ROUND(('Loonschijven_Tranches salariale'!$Q35*0.55),4)*$X$1,2),ROUND(ROUND((Basisbedragen!$C$23*0.55),4)*$X$1,2)))</f>
        <v>54.55</v>
      </c>
      <c r="R37" s="316">
        <f t="shared" si="7"/>
        <v>51.47</v>
      </c>
      <c r="S37" s="316">
        <f t="shared" si="7"/>
        <v>48.4</v>
      </c>
      <c r="T37" s="316">
        <f t="shared" si="7"/>
        <v>45.32</v>
      </c>
      <c r="U37" s="316">
        <f t="shared" si="7"/>
        <v>44.69</v>
      </c>
      <c r="V37" s="161"/>
      <c r="W37" s="234">
        <f>N37+ROUND(Basisbedragen!$C$57*$X$1,2)</f>
        <v>39.169999999999995</v>
      </c>
      <c r="X37" s="316">
        <f>O37+ROUND(Basisbedragen!$C$57*$X$1,2)</f>
        <v>44.69</v>
      </c>
      <c r="Y37" s="161"/>
    </row>
    <row r="38" spans="1:25" ht="15" hidden="1" outlineLevel="1" thickBot="1">
      <c r="A38" s="364">
        <f t="shared" si="5"/>
        <v>29</v>
      </c>
      <c r="C38" s="316">
        <f>IF(ROUND(ROUND(('Loonschijven_Tranches salariale'!$Q36*0.65),4)*$X$1,2)&lt;C$8,C$8,ROUND(ROUND(('Loonschijven_Tranches salariale'!$Q36*0.65),4)*$X$1,2))</f>
        <v>53.22</v>
      </c>
      <c r="D38" s="316">
        <f>IF(ROUND(ROUND(('Loonschijven_Tranches salariale'!$Q36*0.6),4)*$X$1,2)&lt;D$8,D$8,ROUND(ROUND(('Loonschijven_Tranches salariale'!$Q36*0.6),4)*$X$1,2))</f>
        <v>49.13</v>
      </c>
      <c r="E38" s="316">
        <f>IF(ROUND(ROUND(('Loonschijven_Tranches salariale'!$Q36*0.6),4)*$X$1,2)&lt;E$8,E$8,IF('Loonschijven_Tranches salariale'!$Q36&lt;Basisbedragen!$C$24,ROUND(ROUND(('Loonschijven_Tranches salariale'!$Q36*0.6),4)*$X$1,2),ROUND(ROUND((Basisbedragen!$C$24*0.6),4)*$X$1,2)))</f>
        <v>49.13</v>
      </c>
      <c r="F38" s="161"/>
      <c r="G38" s="316">
        <f>IF(ROUND(ROUND(('Loonschijven_Tranches salariale'!$Q36*0.6),4)*$X$1,2)&lt;G$8,G$8,IF('Loonschijven_Tranches salariale'!$Q36&lt;Basisbedragen!$C$23,ROUND(ROUND(('Loonschijven_Tranches salariale'!$Q36*0.6),4)*$X$1,2),ROUND(ROUND((Basisbedragen!$C$23*0.6),4)*$X$1,2)))</f>
        <v>49.13</v>
      </c>
      <c r="H38" s="316">
        <f>IF(ROUND(ROUND(('Loonschijven_Tranches salariale'!$Q36*0.4),4)*$X$1,2)&lt;H$8,H$8,IF('Loonschijven_Tranches salariale'!$Q36&lt;Basisbedragen!$C$23,ROUND(ROUND(('Loonschijven_Tranches salariale'!$Q36*0.4),4)*$X$1,2),ROUND(ROUND((Basisbedragen!$C$23*0.4),4)*$X$1,2)))</f>
        <v>40.72</v>
      </c>
      <c r="I38" s="316">
        <f t="shared" si="3"/>
        <v>39.75</v>
      </c>
      <c r="J38" s="316">
        <f t="shared" si="3"/>
        <v>39.75</v>
      </c>
      <c r="K38" s="316">
        <f t="shared" si="3"/>
        <v>39.75</v>
      </c>
      <c r="L38" s="316">
        <f t="shared" si="3"/>
        <v>39.75</v>
      </c>
      <c r="M38" s="161"/>
      <c r="N38" s="234">
        <f t="shared" si="6"/>
        <v>34.229999999999997</v>
      </c>
      <c r="O38" s="316">
        <f t="shared" si="4"/>
        <v>39.75</v>
      </c>
      <c r="P38" s="161"/>
      <c r="Q38" s="316">
        <f>IF(ROUND(ROUND(('Loonschijven_Tranches salariale'!$Q36*0.55),4)*$X$1,2)&lt;Q$8,Q$8,IF('Loonschijven_Tranches salariale'!$Q36&lt;Basisbedragen!$C$23,ROUND(ROUND(('Loonschijven_Tranches salariale'!$Q36*0.55),4)*$X$1,2),ROUND(ROUND((Basisbedragen!$C$23*0.55),4)*$X$1,2)))</f>
        <v>54.55</v>
      </c>
      <c r="R38" s="316">
        <f t="shared" si="7"/>
        <v>51.47</v>
      </c>
      <c r="S38" s="316">
        <f t="shared" si="7"/>
        <v>48.4</v>
      </c>
      <c r="T38" s="316">
        <f t="shared" si="7"/>
        <v>45.32</v>
      </c>
      <c r="U38" s="316">
        <f t="shared" si="7"/>
        <v>44.69</v>
      </c>
      <c r="V38" s="161"/>
      <c r="W38" s="234">
        <f>N38+ROUND(Basisbedragen!$C$57*$X$1,2)</f>
        <v>39.169999999999995</v>
      </c>
      <c r="X38" s="316">
        <f>O38+ROUND(Basisbedragen!$C$57*$X$1,2)</f>
        <v>44.69</v>
      </c>
      <c r="Y38" s="161"/>
    </row>
    <row r="39" spans="1:25" ht="15" hidden="1" outlineLevel="1" thickBot="1">
      <c r="A39" s="364">
        <f t="shared" si="5"/>
        <v>30</v>
      </c>
      <c r="C39" s="316">
        <f>IF(ROUND(ROUND(('Loonschijven_Tranches salariale'!$Q37*0.65),4)*$X$1,2)&lt;C$8,C$8,ROUND(ROUND(('Loonschijven_Tranches salariale'!$Q37*0.65),4)*$X$1,2))</f>
        <v>53.22</v>
      </c>
      <c r="D39" s="316">
        <f>IF(ROUND(ROUND(('Loonschijven_Tranches salariale'!$Q37*0.6),4)*$X$1,2)&lt;D$8,D$8,ROUND(ROUND(('Loonschijven_Tranches salariale'!$Q37*0.6),4)*$X$1,2))</f>
        <v>49.13</v>
      </c>
      <c r="E39" s="316">
        <f>IF(ROUND(ROUND(('Loonschijven_Tranches salariale'!$Q37*0.6),4)*$X$1,2)&lt;E$8,E$8,IF('Loonschijven_Tranches salariale'!$Q37&lt;Basisbedragen!$C$24,ROUND(ROUND(('Loonschijven_Tranches salariale'!$Q37*0.6),4)*$X$1,2),ROUND(ROUND((Basisbedragen!$C$24*0.6),4)*$X$1,2)))</f>
        <v>49.13</v>
      </c>
      <c r="F39" s="161"/>
      <c r="G39" s="316">
        <f>IF(ROUND(ROUND(('Loonschijven_Tranches salariale'!$Q37*0.6),4)*$X$1,2)&lt;G$8,G$8,IF('Loonschijven_Tranches salariale'!$Q37&lt;Basisbedragen!$C$23,ROUND(ROUND(('Loonschijven_Tranches salariale'!$Q37*0.6),4)*$X$1,2),ROUND(ROUND((Basisbedragen!$C$23*0.6),4)*$X$1,2)))</f>
        <v>49.13</v>
      </c>
      <c r="H39" s="316">
        <f>IF(ROUND(ROUND(('Loonschijven_Tranches salariale'!$Q37*0.4),4)*$X$1,2)&lt;H$8,H$8,IF('Loonschijven_Tranches salariale'!$Q37&lt;Basisbedragen!$C$23,ROUND(ROUND(('Loonschijven_Tranches salariale'!$Q37*0.4),4)*$X$1,2),ROUND(ROUND((Basisbedragen!$C$23*0.4),4)*$X$1,2)))</f>
        <v>40.72</v>
      </c>
      <c r="I39" s="316">
        <f t="shared" si="3"/>
        <v>39.75</v>
      </c>
      <c r="J39" s="316">
        <f t="shared" si="3"/>
        <v>39.75</v>
      </c>
      <c r="K39" s="316">
        <f t="shared" si="3"/>
        <v>39.75</v>
      </c>
      <c r="L39" s="316">
        <f t="shared" si="3"/>
        <v>39.75</v>
      </c>
      <c r="M39" s="161"/>
      <c r="N39" s="234">
        <f t="shared" si="6"/>
        <v>34.229999999999997</v>
      </c>
      <c r="O39" s="316">
        <f t="shared" si="4"/>
        <v>39.75</v>
      </c>
      <c r="P39" s="161"/>
      <c r="Q39" s="316">
        <f>IF(ROUND(ROUND(('Loonschijven_Tranches salariale'!$Q37*0.55),4)*$X$1,2)&lt;Q$8,Q$8,IF('Loonschijven_Tranches salariale'!$Q37&lt;Basisbedragen!$C$23,ROUND(ROUND(('Loonschijven_Tranches salariale'!$Q37*0.55),4)*$X$1,2),ROUND(ROUND((Basisbedragen!$C$23*0.55),4)*$X$1,2)))</f>
        <v>54.55</v>
      </c>
      <c r="R39" s="316">
        <f t="shared" si="7"/>
        <v>51.47</v>
      </c>
      <c r="S39" s="316">
        <f t="shared" si="7"/>
        <v>48.4</v>
      </c>
      <c r="T39" s="316">
        <f t="shared" si="7"/>
        <v>45.32</v>
      </c>
      <c r="U39" s="316">
        <f t="shared" si="7"/>
        <v>44.69</v>
      </c>
      <c r="V39" s="161"/>
      <c r="W39" s="234">
        <f>N39+ROUND(Basisbedragen!$C$57*$X$1,2)</f>
        <v>39.169999999999995</v>
      </c>
      <c r="X39" s="316">
        <f>O39+ROUND(Basisbedragen!$C$57*$X$1,2)</f>
        <v>44.69</v>
      </c>
      <c r="Y39" s="161"/>
    </row>
    <row r="40" spans="1:25" ht="15" hidden="1" outlineLevel="1" thickBot="1">
      <c r="A40" s="364">
        <f t="shared" si="5"/>
        <v>31</v>
      </c>
      <c r="C40" s="316">
        <f>IF(ROUND(ROUND(('Loonschijven_Tranches salariale'!$Q38*0.65),4)*$X$1,2)&lt;C$8,C$8,ROUND(ROUND(('Loonschijven_Tranches salariale'!$Q38*0.65),4)*$X$1,2))</f>
        <v>53.22</v>
      </c>
      <c r="D40" s="316">
        <f>IF(ROUND(ROUND(('Loonschijven_Tranches salariale'!$Q38*0.6),4)*$X$1,2)&lt;D$8,D$8,ROUND(ROUND(('Loonschijven_Tranches salariale'!$Q38*0.6),4)*$X$1,2))</f>
        <v>49.13</v>
      </c>
      <c r="E40" s="316">
        <f>IF(ROUND(ROUND(('Loonschijven_Tranches salariale'!$Q38*0.6),4)*$X$1,2)&lt;E$8,E$8,IF('Loonschijven_Tranches salariale'!$Q38&lt;Basisbedragen!$C$24,ROUND(ROUND(('Loonschijven_Tranches salariale'!$Q38*0.6),4)*$X$1,2),ROUND(ROUND((Basisbedragen!$C$24*0.6),4)*$X$1,2)))</f>
        <v>49.13</v>
      </c>
      <c r="F40" s="161"/>
      <c r="G40" s="316">
        <f>IF(ROUND(ROUND(('Loonschijven_Tranches salariale'!$Q38*0.6),4)*$X$1,2)&lt;G$8,G$8,IF('Loonschijven_Tranches salariale'!$Q38&lt;Basisbedragen!$C$23,ROUND(ROUND(('Loonschijven_Tranches salariale'!$Q38*0.6),4)*$X$1,2),ROUND(ROUND((Basisbedragen!$C$23*0.6),4)*$X$1,2)))</f>
        <v>49.13</v>
      </c>
      <c r="H40" s="316">
        <f>IF(ROUND(ROUND(('Loonschijven_Tranches salariale'!$Q38*0.4),4)*$X$1,2)&lt;H$8,H$8,IF('Loonschijven_Tranches salariale'!$Q38&lt;Basisbedragen!$C$23,ROUND(ROUND(('Loonschijven_Tranches salariale'!$Q38*0.4),4)*$X$1,2),ROUND(ROUND((Basisbedragen!$C$23*0.4),4)*$X$1,2)))</f>
        <v>40.72</v>
      </c>
      <c r="I40" s="316">
        <f t="shared" si="3"/>
        <v>39.75</v>
      </c>
      <c r="J40" s="316">
        <f t="shared" si="3"/>
        <v>39.75</v>
      </c>
      <c r="K40" s="316">
        <f t="shared" si="3"/>
        <v>39.75</v>
      </c>
      <c r="L40" s="316">
        <f t="shared" si="3"/>
        <v>39.75</v>
      </c>
      <c r="M40" s="161"/>
      <c r="N40" s="234">
        <f t="shared" si="6"/>
        <v>34.229999999999997</v>
      </c>
      <c r="O40" s="316">
        <f t="shared" si="4"/>
        <v>39.75</v>
      </c>
      <c r="P40" s="161"/>
      <c r="Q40" s="316">
        <f>IF(ROUND(ROUND(('Loonschijven_Tranches salariale'!$Q38*0.55),4)*$X$1,2)&lt;Q$8,Q$8,IF('Loonschijven_Tranches salariale'!$Q38&lt;Basisbedragen!$C$23,ROUND(ROUND(('Loonschijven_Tranches salariale'!$Q38*0.55),4)*$X$1,2),ROUND(ROUND((Basisbedragen!$C$23*0.55),4)*$X$1,2)))</f>
        <v>54.55</v>
      </c>
      <c r="R40" s="316">
        <f t="shared" si="7"/>
        <v>51.47</v>
      </c>
      <c r="S40" s="316">
        <f t="shared" si="7"/>
        <v>48.4</v>
      </c>
      <c r="T40" s="316">
        <f t="shared" si="7"/>
        <v>45.32</v>
      </c>
      <c r="U40" s="316">
        <f t="shared" si="7"/>
        <v>44.69</v>
      </c>
      <c r="V40" s="161"/>
      <c r="W40" s="234">
        <f>N40+ROUND(Basisbedragen!$C$57*$X$1,2)</f>
        <v>39.169999999999995</v>
      </c>
      <c r="X40" s="316">
        <f>O40+ROUND(Basisbedragen!$C$57*$X$1,2)</f>
        <v>44.69</v>
      </c>
      <c r="Y40" s="161"/>
    </row>
    <row r="41" spans="1:25" ht="15" hidden="1" outlineLevel="1" thickBot="1">
      <c r="A41" s="364">
        <f t="shared" si="5"/>
        <v>32</v>
      </c>
      <c r="C41" s="316">
        <f>IF(ROUND(ROUND(('Loonschijven_Tranches salariale'!$Q39*0.65),4)*$X$1,2)&lt;C$8,C$8,ROUND(ROUND(('Loonschijven_Tranches salariale'!$Q39*0.65),4)*$X$1,2))</f>
        <v>53.22</v>
      </c>
      <c r="D41" s="316">
        <f>IF(ROUND(ROUND(('Loonschijven_Tranches salariale'!$Q39*0.6),4)*$X$1,2)&lt;D$8,D$8,ROUND(ROUND(('Loonschijven_Tranches salariale'!$Q39*0.6),4)*$X$1,2))</f>
        <v>49.13</v>
      </c>
      <c r="E41" s="316">
        <f>IF(ROUND(ROUND(('Loonschijven_Tranches salariale'!$Q39*0.6),4)*$X$1,2)&lt;E$8,E$8,IF('Loonschijven_Tranches salariale'!$Q39&lt;Basisbedragen!$C$24,ROUND(ROUND(('Loonschijven_Tranches salariale'!$Q39*0.6),4)*$X$1,2),ROUND(ROUND((Basisbedragen!$C$24*0.6),4)*$X$1,2)))</f>
        <v>49.13</v>
      </c>
      <c r="F41" s="161"/>
      <c r="G41" s="316">
        <f>IF(ROUND(ROUND(('Loonschijven_Tranches salariale'!$Q39*0.6),4)*$X$1,2)&lt;G$8,G$8,IF('Loonschijven_Tranches salariale'!$Q39&lt;Basisbedragen!$C$23,ROUND(ROUND(('Loonschijven_Tranches salariale'!$Q39*0.6),4)*$X$1,2),ROUND(ROUND((Basisbedragen!$C$23*0.6),4)*$X$1,2)))</f>
        <v>49.13</v>
      </c>
      <c r="H41" s="316">
        <f>IF(ROUND(ROUND(('Loonschijven_Tranches salariale'!$Q39*0.4),4)*$X$1,2)&lt;H$8,H$8,IF('Loonschijven_Tranches salariale'!$Q39&lt;Basisbedragen!$C$23,ROUND(ROUND(('Loonschijven_Tranches salariale'!$Q39*0.4),4)*$X$1,2),ROUND(ROUND((Basisbedragen!$C$23*0.4),4)*$X$1,2)))</f>
        <v>40.72</v>
      </c>
      <c r="I41" s="316">
        <f t="shared" si="3"/>
        <v>39.75</v>
      </c>
      <c r="J41" s="316">
        <f t="shared" si="3"/>
        <v>39.75</v>
      </c>
      <c r="K41" s="316">
        <f t="shared" si="3"/>
        <v>39.75</v>
      </c>
      <c r="L41" s="316">
        <f t="shared" si="3"/>
        <v>39.75</v>
      </c>
      <c r="M41" s="161"/>
      <c r="N41" s="234">
        <f t="shared" si="6"/>
        <v>34.229999999999997</v>
      </c>
      <c r="O41" s="316">
        <f t="shared" si="4"/>
        <v>39.75</v>
      </c>
      <c r="P41" s="161"/>
      <c r="Q41" s="316">
        <f>IF(ROUND(ROUND(('Loonschijven_Tranches salariale'!$Q39*0.55),4)*$X$1,2)&lt;Q$8,Q$8,IF('Loonschijven_Tranches salariale'!$Q39&lt;Basisbedragen!$C$23,ROUND(ROUND(('Loonschijven_Tranches salariale'!$Q39*0.55),4)*$X$1,2),ROUND(ROUND((Basisbedragen!$C$23*0.55),4)*$X$1,2)))</f>
        <v>54.55</v>
      </c>
      <c r="R41" s="316">
        <f t="shared" si="7"/>
        <v>51.47</v>
      </c>
      <c r="S41" s="316">
        <f t="shared" si="7"/>
        <v>48.4</v>
      </c>
      <c r="T41" s="316">
        <f t="shared" si="7"/>
        <v>45.32</v>
      </c>
      <c r="U41" s="316">
        <f t="shared" si="7"/>
        <v>44.69</v>
      </c>
      <c r="V41" s="161"/>
      <c r="W41" s="234">
        <f>N41+ROUND(Basisbedragen!$C$57*$X$1,2)</f>
        <v>39.169999999999995</v>
      </c>
      <c r="X41" s="316">
        <f>O41+ROUND(Basisbedragen!$C$57*$X$1,2)</f>
        <v>44.69</v>
      </c>
      <c r="Y41" s="161"/>
    </row>
    <row r="42" spans="1:25" ht="15" hidden="1" outlineLevel="1" thickBot="1">
      <c r="A42" s="364">
        <f t="shared" si="5"/>
        <v>33</v>
      </c>
      <c r="C42" s="316">
        <f>IF(ROUND(ROUND(('Loonschijven_Tranches salariale'!$Q40*0.65),4)*$X$1,2)&lt;C$8,C$8,ROUND(ROUND(('Loonschijven_Tranches salariale'!$Q40*0.65),4)*$X$1,2))</f>
        <v>53.22</v>
      </c>
      <c r="D42" s="316">
        <f>IF(ROUND(ROUND(('Loonschijven_Tranches salariale'!$Q40*0.6),4)*$X$1,2)&lt;D$8,D$8,ROUND(ROUND(('Loonschijven_Tranches salariale'!$Q40*0.6),4)*$X$1,2))</f>
        <v>49.13</v>
      </c>
      <c r="E42" s="316">
        <f>IF(ROUND(ROUND(('Loonschijven_Tranches salariale'!$Q40*0.6),4)*$X$1,2)&lt;E$8,E$8,IF('Loonschijven_Tranches salariale'!$Q40&lt;Basisbedragen!$C$24,ROUND(ROUND(('Loonschijven_Tranches salariale'!$Q40*0.6),4)*$X$1,2),ROUND(ROUND((Basisbedragen!$C$24*0.6),4)*$X$1,2)))</f>
        <v>49.13</v>
      </c>
      <c r="F42" s="161"/>
      <c r="G42" s="316">
        <f>IF(ROUND(ROUND(('Loonschijven_Tranches salariale'!$Q40*0.6),4)*$X$1,2)&lt;G$8,G$8,IF('Loonschijven_Tranches salariale'!$Q40&lt;Basisbedragen!$C$23,ROUND(ROUND(('Loonschijven_Tranches salariale'!$Q40*0.6),4)*$X$1,2),ROUND(ROUND((Basisbedragen!$C$23*0.6),4)*$X$1,2)))</f>
        <v>49.13</v>
      </c>
      <c r="H42" s="316">
        <f>IF(ROUND(ROUND(('Loonschijven_Tranches salariale'!$Q40*0.4),4)*$X$1,2)&lt;H$8,H$8,IF('Loonschijven_Tranches salariale'!$Q40&lt;Basisbedragen!$C$23,ROUND(ROUND(('Loonschijven_Tranches salariale'!$Q40*0.4),4)*$X$1,2),ROUND(ROUND((Basisbedragen!$C$23*0.4),4)*$X$1,2)))</f>
        <v>40.72</v>
      </c>
      <c r="I42" s="316">
        <f t="shared" si="3"/>
        <v>39.75</v>
      </c>
      <c r="J42" s="316">
        <f t="shared" si="3"/>
        <v>39.75</v>
      </c>
      <c r="K42" s="316">
        <f t="shared" si="3"/>
        <v>39.75</v>
      </c>
      <c r="L42" s="316">
        <f t="shared" si="3"/>
        <v>39.75</v>
      </c>
      <c r="M42" s="161"/>
      <c r="N42" s="234">
        <f t="shared" si="6"/>
        <v>34.229999999999997</v>
      </c>
      <c r="O42" s="316">
        <f t="shared" si="4"/>
        <v>39.75</v>
      </c>
      <c r="P42" s="161"/>
      <c r="Q42" s="316">
        <f>IF(ROUND(ROUND(('Loonschijven_Tranches salariale'!$Q40*0.55),4)*$X$1,2)&lt;Q$8,Q$8,IF('Loonschijven_Tranches salariale'!$Q40&lt;Basisbedragen!$C$23,ROUND(ROUND(('Loonschijven_Tranches salariale'!$Q40*0.55),4)*$X$1,2),ROUND(ROUND((Basisbedragen!$C$23*0.55),4)*$X$1,2)))</f>
        <v>54.55</v>
      </c>
      <c r="R42" s="316">
        <f t="shared" si="7"/>
        <v>51.47</v>
      </c>
      <c r="S42" s="316">
        <f t="shared" si="7"/>
        <v>48.4</v>
      </c>
      <c r="T42" s="316">
        <f t="shared" si="7"/>
        <v>45.32</v>
      </c>
      <c r="U42" s="316">
        <f t="shared" si="7"/>
        <v>44.69</v>
      </c>
      <c r="V42" s="161"/>
      <c r="W42" s="234">
        <f>N42+ROUND(Basisbedragen!$C$57*$X$1,2)</f>
        <v>39.169999999999995</v>
      </c>
      <c r="X42" s="316">
        <f>O42+ROUND(Basisbedragen!$C$57*$X$1,2)</f>
        <v>44.69</v>
      </c>
      <c r="Y42" s="161"/>
    </row>
    <row r="43" spans="1:25" ht="15" hidden="1" outlineLevel="1" thickBot="1">
      <c r="A43" s="364">
        <f t="shared" si="5"/>
        <v>34</v>
      </c>
      <c r="C43" s="316">
        <f>IF(ROUND(ROUND(('Loonschijven_Tranches salariale'!$Q41*0.65),4)*$X$1,2)&lt;C$8,C$8,ROUND(ROUND(('Loonschijven_Tranches salariale'!$Q41*0.65),4)*$X$1,2))</f>
        <v>53.22</v>
      </c>
      <c r="D43" s="316">
        <f>IF(ROUND(ROUND(('Loonschijven_Tranches salariale'!$Q41*0.6),4)*$X$1,2)&lt;D$8,D$8,ROUND(ROUND(('Loonschijven_Tranches salariale'!$Q41*0.6),4)*$X$1,2))</f>
        <v>49.13</v>
      </c>
      <c r="E43" s="316">
        <f>IF(ROUND(ROUND(('Loonschijven_Tranches salariale'!$Q41*0.6),4)*$X$1,2)&lt;E$8,E$8,IF('Loonschijven_Tranches salariale'!$Q41&lt;Basisbedragen!$C$24,ROUND(ROUND(('Loonschijven_Tranches salariale'!$Q41*0.6),4)*$X$1,2),ROUND(ROUND((Basisbedragen!$C$24*0.6),4)*$X$1,2)))</f>
        <v>49.13</v>
      </c>
      <c r="F43" s="161"/>
      <c r="G43" s="316">
        <f>IF(ROUND(ROUND(('Loonschijven_Tranches salariale'!$Q41*0.6),4)*$X$1,2)&lt;G$8,G$8,IF('Loonschijven_Tranches salariale'!$Q41&lt;Basisbedragen!$C$23,ROUND(ROUND(('Loonschijven_Tranches salariale'!$Q41*0.6),4)*$X$1,2),ROUND(ROUND((Basisbedragen!$C$23*0.6),4)*$X$1,2)))</f>
        <v>49.13</v>
      </c>
      <c r="H43" s="316">
        <f>IF(ROUND(ROUND(('Loonschijven_Tranches salariale'!$Q41*0.4),4)*$X$1,2)&lt;H$8,H$8,IF('Loonschijven_Tranches salariale'!$Q41&lt;Basisbedragen!$C$23,ROUND(ROUND(('Loonschijven_Tranches salariale'!$Q41*0.4),4)*$X$1,2),ROUND(ROUND((Basisbedragen!$C$23*0.4),4)*$X$1,2)))</f>
        <v>40.72</v>
      </c>
      <c r="I43" s="316">
        <f t="shared" ref="I43:L88" si="8">IF(ROUND($H43-(I$6*($H43-$N$10)/5),2)&lt;I$9,I$9,ROUND($H43-(I$6*($H43-$N$10)/5),2))</f>
        <v>39.75</v>
      </c>
      <c r="J43" s="316">
        <f t="shared" si="8"/>
        <v>39.75</v>
      </c>
      <c r="K43" s="316">
        <f t="shared" si="8"/>
        <v>39.75</v>
      </c>
      <c r="L43" s="316">
        <f t="shared" si="8"/>
        <v>39.75</v>
      </c>
      <c r="M43" s="161"/>
      <c r="N43" s="234">
        <f t="shared" si="6"/>
        <v>34.229999999999997</v>
      </c>
      <c r="O43" s="316">
        <f t="shared" si="4"/>
        <v>39.75</v>
      </c>
      <c r="P43" s="161"/>
      <c r="Q43" s="316">
        <f>IF(ROUND(ROUND(('Loonschijven_Tranches salariale'!$Q41*0.55),4)*$X$1,2)&lt;Q$8,Q$8,IF('Loonschijven_Tranches salariale'!$Q41&lt;Basisbedragen!$C$23,ROUND(ROUND(('Loonschijven_Tranches salariale'!$Q41*0.55),4)*$X$1,2),ROUND(ROUND((Basisbedragen!$C$23*0.55),4)*$X$1,2)))</f>
        <v>54.55</v>
      </c>
      <c r="R43" s="316">
        <f t="shared" si="7"/>
        <v>51.47</v>
      </c>
      <c r="S43" s="316">
        <f t="shared" si="7"/>
        <v>48.4</v>
      </c>
      <c r="T43" s="316">
        <f t="shared" si="7"/>
        <v>45.32</v>
      </c>
      <c r="U43" s="316">
        <f t="shared" si="7"/>
        <v>44.69</v>
      </c>
      <c r="V43" s="161"/>
      <c r="W43" s="234">
        <f>N43+ROUND(Basisbedragen!$C$57*$X$1,2)</f>
        <v>39.169999999999995</v>
      </c>
      <c r="X43" s="316">
        <f>O43+ROUND(Basisbedragen!$C$57*$X$1,2)</f>
        <v>44.69</v>
      </c>
      <c r="Y43" s="161"/>
    </row>
    <row r="44" spans="1:25" ht="15" hidden="1" outlineLevel="1" thickBot="1">
      <c r="A44" s="364">
        <f t="shared" si="5"/>
        <v>35</v>
      </c>
      <c r="C44" s="316">
        <f>IF(ROUND(ROUND(('Loonschijven_Tranches salariale'!$Q42*0.65),4)*$X$1,2)&lt;C$8,C$8,ROUND(ROUND(('Loonschijven_Tranches salariale'!$Q42*0.65),4)*$X$1,2))</f>
        <v>53.22</v>
      </c>
      <c r="D44" s="316">
        <f>IF(ROUND(ROUND(('Loonschijven_Tranches salariale'!$Q42*0.6),4)*$X$1,2)&lt;D$8,D$8,ROUND(ROUND(('Loonschijven_Tranches salariale'!$Q42*0.6),4)*$X$1,2))</f>
        <v>49.13</v>
      </c>
      <c r="E44" s="316">
        <f>IF(ROUND(ROUND(('Loonschijven_Tranches salariale'!$Q42*0.6),4)*$X$1,2)&lt;E$8,E$8,IF('Loonschijven_Tranches salariale'!$Q42&lt;Basisbedragen!$C$24,ROUND(ROUND(('Loonschijven_Tranches salariale'!$Q42*0.6),4)*$X$1,2),ROUND(ROUND((Basisbedragen!$C$24*0.6),4)*$X$1,2)))</f>
        <v>49.13</v>
      </c>
      <c r="F44" s="161"/>
      <c r="G44" s="316">
        <f>IF(ROUND(ROUND(('Loonschijven_Tranches salariale'!$Q42*0.6),4)*$X$1,2)&lt;G$8,G$8,IF('Loonschijven_Tranches salariale'!$Q42&lt;Basisbedragen!$C$23,ROUND(ROUND(('Loonschijven_Tranches salariale'!$Q42*0.6),4)*$X$1,2),ROUND(ROUND((Basisbedragen!$C$23*0.6),4)*$X$1,2)))</f>
        <v>49.13</v>
      </c>
      <c r="H44" s="316">
        <f>IF(ROUND(ROUND(('Loonschijven_Tranches salariale'!$Q42*0.4),4)*$X$1,2)&lt;H$8,H$8,IF('Loonschijven_Tranches salariale'!$Q42&lt;Basisbedragen!$C$23,ROUND(ROUND(('Loonschijven_Tranches salariale'!$Q42*0.4),4)*$X$1,2),ROUND(ROUND((Basisbedragen!$C$23*0.4),4)*$X$1,2)))</f>
        <v>40.72</v>
      </c>
      <c r="I44" s="316">
        <f t="shared" si="8"/>
        <v>39.75</v>
      </c>
      <c r="J44" s="316">
        <f t="shared" si="8"/>
        <v>39.75</v>
      </c>
      <c r="K44" s="316">
        <f t="shared" si="8"/>
        <v>39.75</v>
      </c>
      <c r="L44" s="316">
        <f t="shared" si="8"/>
        <v>39.75</v>
      </c>
      <c r="M44" s="161"/>
      <c r="N44" s="234">
        <f t="shared" si="6"/>
        <v>34.229999999999997</v>
      </c>
      <c r="O44" s="316">
        <f t="shared" si="4"/>
        <v>39.75</v>
      </c>
      <c r="P44" s="161"/>
      <c r="Q44" s="316">
        <f>IF(ROUND(ROUND(('Loonschijven_Tranches salariale'!$Q42*0.55),4)*$X$1,2)&lt;Q$8,Q$8,IF('Loonschijven_Tranches salariale'!$Q42&lt;Basisbedragen!$C$23,ROUND(ROUND(('Loonschijven_Tranches salariale'!$Q42*0.55),4)*$X$1,2),ROUND(ROUND((Basisbedragen!$C$23*0.55),4)*$X$1,2)))</f>
        <v>54.55</v>
      </c>
      <c r="R44" s="316">
        <f t="shared" si="7"/>
        <v>51.47</v>
      </c>
      <c r="S44" s="316">
        <f t="shared" si="7"/>
        <v>48.4</v>
      </c>
      <c r="T44" s="316">
        <f t="shared" si="7"/>
        <v>45.32</v>
      </c>
      <c r="U44" s="316">
        <f t="shared" si="7"/>
        <v>44.69</v>
      </c>
      <c r="V44" s="161"/>
      <c r="W44" s="234">
        <f>N44+ROUND(Basisbedragen!$C$57*$X$1,2)</f>
        <v>39.169999999999995</v>
      </c>
      <c r="X44" s="316">
        <f>O44+ROUND(Basisbedragen!$C$57*$X$1,2)</f>
        <v>44.69</v>
      </c>
      <c r="Y44" s="161"/>
    </row>
    <row r="45" spans="1:25" ht="15" hidden="1" outlineLevel="1" thickBot="1">
      <c r="A45" s="364">
        <f t="shared" si="5"/>
        <v>36</v>
      </c>
      <c r="C45" s="316">
        <f>IF(ROUND(ROUND(('Loonschijven_Tranches salariale'!$Q43*0.65),4)*$X$1,2)&lt;C$8,C$8,ROUND(ROUND(('Loonschijven_Tranches salariale'!$Q43*0.65),4)*$X$1,2))</f>
        <v>53.22</v>
      </c>
      <c r="D45" s="316">
        <f>IF(ROUND(ROUND(('Loonschijven_Tranches salariale'!$Q43*0.6),4)*$X$1,2)&lt;D$8,D$8,ROUND(ROUND(('Loonschijven_Tranches salariale'!$Q43*0.6),4)*$X$1,2))</f>
        <v>49.13</v>
      </c>
      <c r="E45" s="316">
        <f>IF(ROUND(ROUND(('Loonschijven_Tranches salariale'!$Q43*0.6),4)*$X$1,2)&lt;E$8,E$8,IF('Loonschijven_Tranches salariale'!$Q43&lt;Basisbedragen!$C$24,ROUND(ROUND(('Loonschijven_Tranches salariale'!$Q43*0.6),4)*$X$1,2),ROUND(ROUND((Basisbedragen!$C$24*0.6),4)*$X$1,2)))</f>
        <v>49.13</v>
      </c>
      <c r="F45" s="161"/>
      <c r="G45" s="316">
        <f>IF(ROUND(ROUND(('Loonschijven_Tranches salariale'!$Q43*0.6),4)*$X$1,2)&lt;G$8,G$8,IF('Loonschijven_Tranches salariale'!$Q43&lt;Basisbedragen!$C$23,ROUND(ROUND(('Loonschijven_Tranches salariale'!$Q43*0.6),4)*$X$1,2),ROUND(ROUND((Basisbedragen!$C$23*0.6),4)*$X$1,2)))</f>
        <v>49.13</v>
      </c>
      <c r="H45" s="316">
        <f>IF(ROUND(ROUND(('Loonschijven_Tranches salariale'!$Q43*0.4),4)*$X$1,2)&lt;H$8,H$8,IF('Loonschijven_Tranches salariale'!$Q43&lt;Basisbedragen!$C$23,ROUND(ROUND(('Loonschijven_Tranches salariale'!$Q43*0.4),4)*$X$1,2),ROUND(ROUND((Basisbedragen!$C$23*0.4),4)*$X$1,2)))</f>
        <v>40.72</v>
      </c>
      <c r="I45" s="316">
        <f t="shared" si="8"/>
        <v>39.75</v>
      </c>
      <c r="J45" s="316">
        <f t="shared" si="8"/>
        <v>39.75</v>
      </c>
      <c r="K45" s="316">
        <f t="shared" si="8"/>
        <v>39.75</v>
      </c>
      <c r="L45" s="316">
        <f t="shared" si="8"/>
        <v>39.75</v>
      </c>
      <c r="M45" s="161"/>
      <c r="N45" s="234">
        <f t="shared" si="6"/>
        <v>34.229999999999997</v>
      </c>
      <c r="O45" s="316">
        <f t="shared" si="4"/>
        <v>39.75</v>
      </c>
      <c r="P45" s="161"/>
      <c r="Q45" s="316">
        <f>IF(ROUND(ROUND(('Loonschijven_Tranches salariale'!$Q43*0.55),4)*$X$1,2)&lt;Q$8,Q$8,IF('Loonschijven_Tranches salariale'!$Q43&lt;Basisbedragen!$C$23,ROUND(ROUND(('Loonschijven_Tranches salariale'!$Q43*0.55),4)*$X$1,2),ROUND(ROUND((Basisbedragen!$C$23*0.55),4)*$X$1,2)))</f>
        <v>54.55</v>
      </c>
      <c r="R45" s="316">
        <f t="shared" si="7"/>
        <v>51.47</v>
      </c>
      <c r="S45" s="316">
        <f t="shared" si="7"/>
        <v>48.4</v>
      </c>
      <c r="T45" s="316">
        <f t="shared" si="7"/>
        <v>45.32</v>
      </c>
      <c r="U45" s="316">
        <f t="shared" si="7"/>
        <v>44.69</v>
      </c>
      <c r="V45" s="161"/>
      <c r="W45" s="234">
        <f>N45+ROUND(Basisbedragen!$C$57*$X$1,2)</f>
        <v>39.169999999999995</v>
      </c>
      <c r="X45" s="316">
        <f>O45+ROUND(Basisbedragen!$C$57*$X$1,2)</f>
        <v>44.69</v>
      </c>
      <c r="Y45" s="161"/>
    </row>
    <row r="46" spans="1:25" ht="15" hidden="1" outlineLevel="1" thickBot="1">
      <c r="A46" s="364">
        <f t="shared" si="5"/>
        <v>37</v>
      </c>
      <c r="C46" s="316">
        <f>IF(ROUND(ROUND(('Loonschijven_Tranches salariale'!$Q44*0.65),4)*$X$1,2)&lt;C$8,C$8,ROUND(ROUND(('Loonschijven_Tranches salariale'!$Q44*0.65),4)*$X$1,2))</f>
        <v>53.22</v>
      </c>
      <c r="D46" s="316">
        <f>IF(ROUND(ROUND(('Loonschijven_Tranches salariale'!$Q44*0.6),4)*$X$1,2)&lt;D$8,D$8,ROUND(ROUND(('Loonschijven_Tranches salariale'!$Q44*0.6),4)*$X$1,2))</f>
        <v>49.13</v>
      </c>
      <c r="E46" s="316">
        <f>IF(ROUND(ROUND(('Loonschijven_Tranches salariale'!$Q44*0.6),4)*$X$1,2)&lt;E$8,E$8,IF('Loonschijven_Tranches salariale'!$Q44&lt;Basisbedragen!$C$24,ROUND(ROUND(('Loonschijven_Tranches salariale'!$Q44*0.6),4)*$X$1,2),ROUND(ROUND((Basisbedragen!$C$24*0.6),4)*$X$1,2)))</f>
        <v>49.13</v>
      </c>
      <c r="F46" s="161"/>
      <c r="G46" s="316">
        <f>IF(ROUND(ROUND(('Loonschijven_Tranches salariale'!$Q44*0.6),4)*$X$1,2)&lt;G$8,G$8,IF('Loonschijven_Tranches salariale'!$Q44&lt;Basisbedragen!$C$23,ROUND(ROUND(('Loonschijven_Tranches salariale'!$Q44*0.6),4)*$X$1,2),ROUND(ROUND((Basisbedragen!$C$23*0.6),4)*$X$1,2)))</f>
        <v>49.13</v>
      </c>
      <c r="H46" s="316">
        <f>IF(ROUND(ROUND(('Loonschijven_Tranches salariale'!$Q44*0.4),4)*$X$1,2)&lt;H$8,H$8,IF('Loonschijven_Tranches salariale'!$Q44&lt;Basisbedragen!$C$23,ROUND(ROUND(('Loonschijven_Tranches salariale'!$Q44*0.4),4)*$X$1,2),ROUND(ROUND((Basisbedragen!$C$23*0.4),4)*$X$1,2)))</f>
        <v>40.72</v>
      </c>
      <c r="I46" s="316">
        <f t="shared" si="8"/>
        <v>39.75</v>
      </c>
      <c r="J46" s="316">
        <f t="shared" si="8"/>
        <v>39.75</v>
      </c>
      <c r="K46" s="316">
        <f t="shared" si="8"/>
        <v>39.75</v>
      </c>
      <c r="L46" s="316">
        <f t="shared" si="8"/>
        <v>39.75</v>
      </c>
      <c r="M46" s="161"/>
      <c r="N46" s="234">
        <f t="shared" si="6"/>
        <v>34.229999999999997</v>
      </c>
      <c r="O46" s="316">
        <f t="shared" si="4"/>
        <v>39.75</v>
      </c>
      <c r="P46" s="161"/>
      <c r="Q46" s="316">
        <f>IF(ROUND(ROUND(('Loonschijven_Tranches salariale'!$Q44*0.55),4)*$X$1,2)&lt;Q$8,Q$8,IF('Loonschijven_Tranches salariale'!$Q44&lt;Basisbedragen!$C$23,ROUND(ROUND(('Loonschijven_Tranches salariale'!$Q44*0.55),4)*$X$1,2),ROUND(ROUND((Basisbedragen!$C$23*0.55),4)*$X$1,2)))</f>
        <v>54.55</v>
      </c>
      <c r="R46" s="316">
        <f t="shared" si="7"/>
        <v>51.47</v>
      </c>
      <c r="S46" s="316">
        <f t="shared" si="7"/>
        <v>48.4</v>
      </c>
      <c r="T46" s="316">
        <f t="shared" si="7"/>
        <v>45.32</v>
      </c>
      <c r="U46" s="316">
        <f t="shared" si="7"/>
        <v>44.69</v>
      </c>
      <c r="V46" s="161"/>
      <c r="W46" s="234">
        <f>N46+ROUND(Basisbedragen!$C$57*$X$1,2)</f>
        <v>39.169999999999995</v>
      </c>
      <c r="X46" s="316">
        <f>O46+ROUND(Basisbedragen!$C$57*$X$1,2)</f>
        <v>44.69</v>
      </c>
      <c r="Y46" s="161"/>
    </row>
    <row r="47" spans="1:25" ht="15" hidden="1" outlineLevel="1" thickBot="1">
      <c r="A47" s="364">
        <f t="shared" si="5"/>
        <v>38</v>
      </c>
      <c r="C47" s="316">
        <f>IF(ROUND(ROUND(('Loonschijven_Tranches salariale'!$Q45*0.65),4)*$X$1,2)&lt;C$8,C$8,ROUND(ROUND(('Loonschijven_Tranches salariale'!$Q45*0.65),4)*$X$1,2))</f>
        <v>53.22</v>
      </c>
      <c r="D47" s="316">
        <f>IF(ROUND(ROUND(('Loonschijven_Tranches salariale'!$Q45*0.6),4)*$X$1,2)&lt;D$8,D$8,ROUND(ROUND(('Loonschijven_Tranches salariale'!$Q45*0.6),4)*$X$1,2))</f>
        <v>49.13</v>
      </c>
      <c r="E47" s="316">
        <f>IF(ROUND(ROUND(('Loonschijven_Tranches salariale'!$Q45*0.6),4)*$X$1,2)&lt;E$8,E$8,IF('Loonschijven_Tranches salariale'!$Q45&lt;Basisbedragen!$C$24,ROUND(ROUND(('Loonschijven_Tranches salariale'!$Q45*0.6),4)*$X$1,2),ROUND(ROUND((Basisbedragen!$C$24*0.6),4)*$X$1,2)))</f>
        <v>49.13</v>
      </c>
      <c r="F47" s="161"/>
      <c r="G47" s="316">
        <f>IF(ROUND(ROUND(('Loonschijven_Tranches salariale'!$Q45*0.6),4)*$X$1,2)&lt;G$8,G$8,IF('Loonschijven_Tranches salariale'!$Q45&lt;Basisbedragen!$C$23,ROUND(ROUND(('Loonschijven_Tranches salariale'!$Q45*0.6),4)*$X$1,2),ROUND(ROUND((Basisbedragen!$C$23*0.6),4)*$X$1,2)))</f>
        <v>49.13</v>
      </c>
      <c r="H47" s="316">
        <f>IF(ROUND(ROUND(('Loonschijven_Tranches salariale'!$Q45*0.4),4)*$X$1,2)&lt;H$8,H$8,IF('Loonschijven_Tranches salariale'!$Q45&lt;Basisbedragen!$C$23,ROUND(ROUND(('Loonschijven_Tranches salariale'!$Q45*0.4),4)*$X$1,2),ROUND(ROUND((Basisbedragen!$C$23*0.4),4)*$X$1,2)))</f>
        <v>40.72</v>
      </c>
      <c r="I47" s="316">
        <f t="shared" si="8"/>
        <v>39.75</v>
      </c>
      <c r="J47" s="316">
        <f t="shared" si="8"/>
        <v>39.75</v>
      </c>
      <c r="K47" s="316">
        <f t="shared" si="8"/>
        <v>39.75</v>
      </c>
      <c r="L47" s="316">
        <f t="shared" si="8"/>
        <v>39.75</v>
      </c>
      <c r="M47" s="161"/>
      <c r="N47" s="234">
        <f t="shared" si="6"/>
        <v>34.229999999999997</v>
      </c>
      <c r="O47" s="316">
        <f t="shared" si="4"/>
        <v>39.75</v>
      </c>
      <c r="P47" s="161"/>
      <c r="Q47" s="316">
        <f>IF(ROUND(ROUND(('Loonschijven_Tranches salariale'!$Q45*0.55),4)*$X$1,2)&lt;Q$8,Q$8,IF('Loonschijven_Tranches salariale'!$Q45&lt;Basisbedragen!$C$23,ROUND(ROUND(('Loonschijven_Tranches salariale'!$Q45*0.55),4)*$X$1,2),ROUND(ROUND((Basisbedragen!$C$23*0.55),4)*$X$1,2)))</f>
        <v>54.55</v>
      </c>
      <c r="R47" s="316">
        <f t="shared" si="7"/>
        <v>51.47</v>
      </c>
      <c r="S47" s="316">
        <f t="shared" si="7"/>
        <v>48.4</v>
      </c>
      <c r="T47" s="316">
        <f t="shared" si="7"/>
        <v>45.32</v>
      </c>
      <c r="U47" s="316">
        <f t="shared" si="7"/>
        <v>44.69</v>
      </c>
      <c r="V47" s="161"/>
      <c r="W47" s="234">
        <f>N47+ROUND(Basisbedragen!$C$57*$X$1,2)</f>
        <v>39.169999999999995</v>
      </c>
      <c r="X47" s="316">
        <f>O47+ROUND(Basisbedragen!$C$57*$X$1,2)</f>
        <v>44.69</v>
      </c>
      <c r="Y47" s="161"/>
    </row>
    <row r="48" spans="1:25" ht="15" hidden="1" outlineLevel="1" thickBot="1">
      <c r="A48" s="364">
        <f t="shared" si="5"/>
        <v>39</v>
      </c>
      <c r="C48" s="316">
        <f>IF(ROUND(ROUND(('Loonschijven_Tranches salariale'!$Q46*0.65),4)*$X$1,2)&lt;C$8,C$8,ROUND(ROUND(('Loonschijven_Tranches salariale'!$Q46*0.65),4)*$X$1,2))</f>
        <v>53.22</v>
      </c>
      <c r="D48" s="316">
        <f>IF(ROUND(ROUND(('Loonschijven_Tranches salariale'!$Q46*0.6),4)*$X$1,2)&lt;D$8,D$8,ROUND(ROUND(('Loonschijven_Tranches salariale'!$Q46*0.6),4)*$X$1,2))</f>
        <v>49.13</v>
      </c>
      <c r="E48" s="316">
        <f>IF(ROUND(ROUND(('Loonschijven_Tranches salariale'!$Q46*0.6),4)*$X$1,2)&lt;E$8,E$8,IF('Loonschijven_Tranches salariale'!$Q46&lt;Basisbedragen!$C$24,ROUND(ROUND(('Loonschijven_Tranches salariale'!$Q46*0.6),4)*$X$1,2),ROUND(ROUND((Basisbedragen!$C$24*0.6),4)*$X$1,2)))</f>
        <v>49.13</v>
      </c>
      <c r="F48" s="161"/>
      <c r="G48" s="316">
        <f>IF(ROUND(ROUND(('Loonschijven_Tranches salariale'!$Q46*0.6),4)*$X$1,2)&lt;G$8,G$8,IF('Loonschijven_Tranches salariale'!$Q46&lt;Basisbedragen!$C$23,ROUND(ROUND(('Loonschijven_Tranches salariale'!$Q46*0.6),4)*$X$1,2),ROUND(ROUND((Basisbedragen!$C$23*0.6),4)*$X$1,2)))</f>
        <v>49.13</v>
      </c>
      <c r="H48" s="316">
        <f>IF(ROUND(ROUND(('Loonschijven_Tranches salariale'!$Q46*0.4),4)*$X$1,2)&lt;H$8,H$8,IF('Loonschijven_Tranches salariale'!$Q46&lt;Basisbedragen!$C$23,ROUND(ROUND(('Loonschijven_Tranches salariale'!$Q46*0.4),4)*$X$1,2),ROUND(ROUND((Basisbedragen!$C$23*0.4),4)*$X$1,2)))</f>
        <v>40.72</v>
      </c>
      <c r="I48" s="316">
        <f t="shared" si="8"/>
        <v>39.75</v>
      </c>
      <c r="J48" s="316">
        <f t="shared" si="8"/>
        <v>39.75</v>
      </c>
      <c r="K48" s="316">
        <f t="shared" si="8"/>
        <v>39.75</v>
      </c>
      <c r="L48" s="316">
        <f t="shared" si="8"/>
        <v>39.75</v>
      </c>
      <c r="M48" s="161"/>
      <c r="N48" s="234">
        <f t="shared" si="6"/>
        <v>34.229999999999997</v>
      </c>
      <c r="O48" s="316">
        <f t="shared" si="4"/>
        <v>39.75</v>
      </c>
      <c r="P48" s="161"/>
      <c r="Q48" s="316">
        <f>IF(ROUND(ROUND(('Loonschijven_Tranches salariale'!$Q46*0.55),4)*$X$1,2)&lt;Q$8,Q$8,IF('Loonschijven_Tranches salariale'!$Q46&lt;Basisbedragen!$C$23,ROUND(ROUND(('Loonschijven_Tranches salariale'!$Q46*0.55),4)*$X$1,2),ROUND(ROUND((Basisbedragen!$C$23*0.55),4)*$X$1,2)))</f>
        <v>54.55</v>
      </c>
      <c r="R48" s="316">
        <f t="shared" si="7"/>
        <v>51.47</v>
      </c>
      <c r="S48" s="316">
        <f t="shared" si="7"/>
        <v>48.4</v>
      </c>
      <c r="T48" s="316">
        <f t="shared" si="7"/>
        <v>45.32</v>
      </c>
      <c r="U48" s="316">
        <f t="shared" si="7"/>
        <v>44.69</v>
      </c>
      <c r="V48" s="161"/>
      <c r="W48" s="234">
        <f>N48+ROUND(Basisbedragen!$C$57*$X$1,2)</f>
        <v>39.169999999999995</v>
      </c>
      <c r="X48" s="316">
        <f>O48+ROUND(Basisbedragen!$C$57*$X$1,2)</f>
        <v>44.69</v>
      </c>
      <c r="Y48" s="161"/>
    </row>
    <row r="49" spans="1:25" ht="15" collapsed="1" thickBot="1">
      <c r="A49" s="364">
        <f t="shared" si="5"/>
        <v>40</v>
      </c>
      <c r="C49" s="316">
        <f>IF(ROUND(ROUND(('Loonschijven_Tranches salariale'!$Q47*0.65),4)*$X$1,2)&lt;C$8,C$8,ROUND(ROUND(('Loonschijven_Tranches salariale'!$Q47*0.65),4)*$X$1,2))</f>
        <v>53.22</v>
      </c>
      <c r="D49" s="316">
        <f>IF(ROUND(ROUND(('Loonschijven_Tranches salariale'!$Q47*0.6),4)*$X$1,2)&lt;D$8,D$8,ROUND(ROUND(('Loonschijven_Tranches salariale'!$Q47*0.6),4)*$X$1,2))</f>
        <v>49.13</v>
      </c>
      <c r="E49" s="316">
        <f>IF(ROUND(ROUND(('Loonschijven_Tranches salariale'!$Q47*0.6),4)*$X$1,2)&lt;E$8,E$8,IF('Loonschijven_Tranches salariale'!$Q47&lt;Basisbedragen!$C$24,ROUND(ROUND(('Loonschijven_Tranches salariale'!$Q47*0.6),4)*$X$1,2),ROUND(ROUND((Basisbedragen!$C$24*0.6),4)*$X$1,2)))</f>
        <v>49.13</v>
      </c>
      <c r="F49" s="161"/>
      <c r="G49" s="316">
        <f>IF(ROUND(ROUND(('Loonschijven_Tranches salariale'!$Q47*0.6),4)*$X$1,2)&lt;G$8,G$8,IF('Loonschijven_Tranches salariale'!$Q47&lt;Basisbedragen!$C$23,ROUND(ROUND(('Loonschijven_Tranches salariale'!$Q47*0.6),4)*$X$1,2),ROUND(ROUND((Basisbedragen!$C$23*0.6),4)*$X$1,2)))</f>
        <v>49.13</v>
      </c>
      <c r="H49" s="316">
        <f>IF(ROUND(ROUND(('Loonschijven_Tranches salariale'!$Q47*0.4),4)*$X$1,2)&lt;H$8,H$8,IF('Loonschijven_Tranches salariale'!$Q47&lt;Basisbedragen!$C$23,ROUND(ROUND(('Loonschijven_Tranches salariale'!$Q47*0.4),4)*$X$1,2),ROUND(ROUND((Basisbedragen!$C$23*0.4),4)*$X$1,2)))</f>
        <v>40.72</v>
      </c>
      <c r="I49" s="316">
        <f t="shared" si="8"/>
        <v>39.75</v>
      </c>
      <c r="J49" s="316">
        <f t="shared" si="8"/>
        <v>39.75</v>
      </c>
      <c r="K49" s="316">
        <f t="shared" si="8"/>
        <v>39.75</v>
      </c>
      <c r="L49" s="316">
        <f t="shared" si="8"/>
        <v>39.75</v>
      </c>
      <c r="M49" s="161"/>
      <c r="N49" s="234">
        <f t="shared" si="6"/>
        <v>34.229999999999997</v>
      </c>
      <c r="O49" s="316">
        <f t="shared" si="4"/>
        <v>39.75</v>
      </c>
      <c r="P49" s="161"/>
      <c r="Q49" s="316">
        <f>IF(ROUND(ROUND(('Loonschijven_Tranches salariale'!$Q47*0.55),4)*$X$1,2)&lt;Q$8,Q$8,IF('Loonschijven_Tranches salariale'!$Q47&lt;Basisbedragen!$C$23,ROUND(ROUND(('Loonschijven_Tranches salariale'!$Q47*0.55),4)*$X$1,2),ROUND(ROUND((Basisbedragen!$C$23*0.55),4)*$X$1,2)))</f>
        <v>54.55</v>
      </c>
      <c r="R49" s="316">
        <f t="shared" si="7"/>
        <v>51.47</v>
      </c>
      <c r="S49" s="316">
        <f t="shared" si="7"/>
        <v>48.4</v>
      </c>
      <c r="T49" s="316">
        <f t="shared" si="7"/>
        <v>45.32</v>
      </c>
      <c r="U49" s="316">
        <f t="shared" si="7"/>
        <v>44.69</v>
      </c>
      <c r="V49" s="161"/>
      <c r="W49" s="234">
        <f>N49+ROUND(Basisbedragen!$C$57*$X$1,2)</f>
        <v>39.169999999999995</v>
      </c>
      <c r="X49" s="316">
        <f>O49+ROUND(Basisbedragen!$C$57*$X$1,2)</f>
        <v>44.69</v>
      </c>
      <c r="Y49" s="161"/>
    </row>
    <row r="50" spans="1:25" ht="15" thickBot="1">
      <c r="A50" s="364">
        <f t="shared" si="5"/>
        <v>41</v>
      </c>
      <c r="C50" s="316">
        <f>IF(ROUND(ROUND(('Loonschijven_Tranches salariale'!$Q48*0.65),4)*$X$1,2)&lt;C$8,C$8,ROUND(ROUND(('Loonschijven_Tranches salariale'!$Q48*0.65),4)*$X$1,2))</f>
        <v>53.22</v>
      </c>
      <c r="D50" s="316">
        <f>IF(ROUND(ROUND(('Loonschijven_Tranches salariale'!$Q48*0.6),4)*$X$1,2)&lt;D$8,D$8,ROUND(ROUND(('Loonschijven_Tranches salariale'!$Q48*0.6),4)*$X$1,2))</f>
        <v>49.13</v>
      </c>
      <c r="E50" s="316">
        <f>IF(ROUND(ROUND(('Loonschijven_Tranches salariale'!$Q48*0.6),4)*$X$1,2)&lt;E$8,E$8,IF('Loonschijven_Tranches salariale'!$Q48&lt;Basisbedragen!$C$24,ROUND(ROUND(('Loonschijven_Tranches salariale'!$Q48*0.6),4)*$X$1,2),ROUND(ROUND((Basisbedragen!$C$24*0.6),4)*$X$1,2)))</f>
        <v>49.13</v>
      </c>
      <c r="F50" s="161"/>
      <c r="G50" s="316">
        <f>IF(ROUND(ROUND(('Loonschijven_Tranches salariale'!$Q48*0.6),4)*$X$1,2)&lt;G$8,G$8,IF('Loonschijven_Tranches salariale'!$Q48&lt;Basisbedragen!$C$23,ROUND(ROUND(('Loonschijven_Tranches salariale'!$Q48*0.6),4)*$X$1,2),ROUND(ROUND((Basisbedragen!$C$23*0.6),4)*$X$1,2)))</f>
        <v>49.13</v>
      </c>
      <c r="H50" s="316">
        <f>IF(ROUND(ROUND(('Loonschijven_Tranches salariale'!$Q48*0.4),4)*$X$1,2)&lt;H$8,H$8,IF('Loonschijven_Tranches salariale'!$Q48&lt;Basisbedragen!$C$23,ROUND(ROUND(('Loonschijven_Tranches salariale'!$Q48*0.4),4)*$X$1,2),ROUND(ROUND((Basisbedragen!$C$23*0.4),4)*$X$1,2)))</f>
        <v>40.72</v>
      </c>
      <c r="I50" s="316">
        <f t="shared" si="8"/>
        <v>39.75</v>
      </c>
      <c r="J50" s="316">
        <f t="shared" si="8"/>
        <v>39.75</v>
      </c>
      <c r="K50" s="316">
        <f t="shared" si="8"/>
        <v>39.75</v>
      </c>
      <c r="L50" s="316">
        <f t="shared" si="8"/>
        <v>39.75</v>
      </c>
      <c r="M50" s="161"/>
      <c r="N50" s="234">
        <f t="shared" si="6"/>
        <v>34.229999999999997</v>
      </c>
      <c r="O50" s="316">
        <f t="shared" si="4"/>
        <v>39.75</v>
      </c>
      <c r="P50" s="161"/>
      <c r="Q50" s="316">
        <f>IF(ROUND(ROUND(('Loonschijven_Tranches salariale'!$Q48*0.55),4)*$X$1,2)&lt;Q$8,Q$8,IF('Loonschijven_Tranches salariale'!$Q48&lt;Basisbedragen!$C$23,ROUND(ROUND(('Loonschijven_Tranches salariale'!$Q48*0.55),4)*$X$1,2),ROUND(ROUND((Basisbedragen!$C$23*0.55),4)*$X$1,2)))</f>
        <v>54.55</v>
      </c>
      <c r="R50" s="316">
        <f t="shared" ref="R50:U69" si="9">IF(ROUND($Q50-(R$6*($Q50-$W50)/5),2)&lt;$X50,$X50,ROUND($Q50-(R$6*($Q50-$W50)/5),2))</f>
        <v>51.47</v>
      </c>
      <c r="S50" s="316">
        <f t="shared" si="9"/>
        <v>48.4</v>
      </c>
      <c r="T50" s="316">
        <f t="shared" si="9"/>
        <v>45.32</v>
      </c>
      <c r="U50" s="316">
        <f t="shared" si="9"/>
        <v>44.69</v>
      </c>
      <c r="V50" s="161"/>
      <c r="W50" s="234">
        <f>N50+ROUND(Basisbedragen!$C$57*$X$1,2)</f>
        <v>39.169999999999995</v>
      </c>
      <c r="X50" s="316">
        <f>O50+ROUND(Basisbedragen!$C$57*$X$1,2)</f>
        <v>44.69</v>
      </c>
      <c r="Y50" s="161"/>
    </row>
    <row r="51" spans="1:25" ht="15" thickBot="1">
      <c r="A51" s="364">
        <f t="shared" si="5"/>
        <v>42</v>
      </c>
      <c r="C51" s="316">
        <f>IF(ROUND(ROUND(('Loonschijven_Tranches salariale'!$Q49*0.65),4)*$X$1,2)&lt;C$8,C$8,ROUND(ROUND(('Loonschijven_Tranches salariale'!$Q49*0.65),4)*$X$1,2))</f>
        <v>53.22</v>
      </c>
      <c r="D51" s="316">
        <f>IF(ROUND(ROUND(('Loonschijven_Tranches salariale'!$Q49*0.6),4)*$X$1,2)&lt;D$8,D$8,ROUND(ROUND(('Loonschijven_Tranches salariale'!$Q49*0.6),4)*$X$1,2))</f>
        <v>49.13</v>
      </c>
      <c r="E51" s="316">
        <f>IF(ROUND(ROUND(('Loonschijven_Tranches salariale'!$Q49*0.6),4)*$X$1,2)&lt;E$8,E$8,IF('Loonschijven_Tranches salariale'!$Q49&lt;Basisbedragen!$C$24,ROUND(ROUND(('Loonschijven_Tranches salariale'!$Q49*0.6),4)*$X$1,2),ROUND(ROUND((Basisbedragen!$C$24*0.6),4)*$X$1,2)))</f>
        <v>49.13</v>
      </c>
      <c r="F51" s="161"/>
      <c r="G51" s="316">
        <f>IF(ROUND(ROUND(('Loonschijven_Tranches salariale'!$Q49*0.6),4)*$X$1,2)&lt;G$8,G$8,IF('Loonschijven_Tranches salariale'!$Q49&lt;Basisbedragen!$C$23,ROUND(ROUND(('Loonschijven_Tranches salariale'!$Q49*0.6),4)*$X$1,2),ROUND(ROUND((Basisbedragen!$C$23*0.6),4)*$X$1,2)))</f>
        <v>49.13</v>
      </c>
      <c r="H51" s="316">
        <f>IF(ROUND(ROUND(('Loonschijven_Tranches salariale'!$Q49*0.4),4)*$X$1,2)&lt;H$8,H$8,IF('Loonschijven_Tranches salariale'!$Q49&lt;Basisbedragen!$C$23,ROUND(ROUND(('Loonschijven_Tranches salariale'!$Q49*0.4),4)*$X$1,2),ROUND(ROUND((Basisbedragen!$C$23*0.4),4)*$X$1,2)))</f>
        <v>40.72</v>
      </c>
      <c r="I51" s="316">
        <f t="shared" si="8"/>
        <v>39.75</v>
      </c>
      <c r="J51" s="316">
        <f t="shared" si="8"/>
        <v>39.75</v>
      </c>
      <c r="K51" s="316">
        <f t="shared" si="8"/>
        <v>39.75</v>
      </c>
      <c r="L51" s="316">
        <f t="shared" si="8"/>
        <v>39.75</v>
      </c>
      <c r="M51" s="161"/>
      <c r="N51" s="234">
        <f t="shared" si="6"/>
        <v>34.229999999999997</v>
      </c>
      <c r="O51" s="316">
        <f t="shared" si="4"/>
        <v>39.75</v>
      </c>
      <c r="P51" s="161"/>
      <c r="Q51" s="316">
        <f>IF(ROUND(ROUND(('Loonschijven_Tranches salariale'!$Q49*0.55),4)*$X$1,2)&lt;Q$8,Q$8,IF('Loonschijven_Tranches salariale'!$Q49&lt;Basisbedragen!$C$23,ROUND(ROUND(('Loonschijven_Tranches salariale'!$Q49*0.55),4)*$X$1,2),ROUND(ROUND((Basisbedragen!$C$23*0.55),4)*$X$1,2)))</f>
        <v>54.55</v>
      </c>
      <c r="R51" s="316">
        <f t="shared" si="9"/>
        <v>51.47</v>
      </c>
      <c r="S51" s="316">
        <f t="shared" si="9"/>
        <v>48.4</v>
      </c>
      <c r="T51" s="316">
        <f t="shared" si="9"/>
        <v>45.32</v>
      </c>
      <c r="U51" s="316">
        <f t="shared" si="9"/>
        <v>44.69</v>
      </c>
      <c r="V51" s="161"/>
      <c r="W51" s="234">
        <f>N51+ROUND(Basisbedragen!$C$57*$X$1,2)</f>
        <v>39.169999999999995</v>
      </c>
      <c r="X51" s="316">
        <f>O51+ROUND(Basisbedragen!$C$57*$X$1,2)</f>
        <v>44.69</v>
      </c>
      <c r="Y51" s="161"/>
    </row>
    <row r="52" spans="1:25" ht="15" thickBot="1">
      <c r="A52" s="364">
        <f t="shared" si="5"/>
        <v>43</v>
      </c>
      <c r="C52" s="316">
        <f>IF(ROUND(ROUND(('Loonschijven_Tranches salariale'!$Q50*0.65),4)*$X$1,2)&lt;C$8,C$8,ROUND(ROUND(('Loonschijven_Tranches salariale'!$Q50*0.65),4)*$X$1,2))</f>
        <v>53.72</v>
      </c>
      <c r="D52" s="316">
        <f>IF(ROUND(ROUND(('Loonschijven_Tranches salariale'!$Q50*0.6),4)*$X$1,2)&lt;D$8,D$8,ROUND(ROUND(('Loonschijven_Tranches salariale'!$Q50*0.6),4)*$X$1,2))</f>
        <v>49.59</v>
      </c>
      <c r="E52" s="316">
        <f>IF(ROUND(ROUND(('Loonschijven_Tranches salariale'!$Q50*0.6),4)*$X$1,2)&lt;E$8,E$8,IF('Loonschijven_Tranches salariale'!$Q50&lt;Basisbedragen!$C$24,ROUND(ROUND(('Loonschijven_Tranches salariale'!$Q50*0.6),4)*$X$1,2),ROUND(ROUND((Basisbedragen!$C$24*0.6),4)*$X$1,2)))</f>
        <v>49.59</v>
      </c>
      <c r="F52" s="161"/>
      <c r="G52" s="316">
        <f>IF(ROUND(ROUND(('Loonschijven_Tranches salariale'!$Q50*0.6),4)*$X$1,2)&lt;G$8,G$8,IF('Loonschijven_Tranches salariale'!$Q50&lt;Basisbedragen!$C$23,ROUND(ROUND(('Loonschijven_Tranches salariale'!$Q50*0.6),4)*$X$1,2),ROUND(ROUND((Basisbedragen!$C$23*0.6),4)*$X$1,2)))</f>
        <v>49.59</v>
      </c>
      <c r="H52" s="316">
        <f>IF(ROUND(ROUND(('Loonschijven_Tranches salariale'!$Q50*0.4),4)*$X$1,2)&lt;H$8,H$8,IF('Loonschijven_Tranches salariale'!$Q50&lt;Basisbedragen!$C$23,ROUND(ROUND(('Loonschijven_Tranches salariale'!$Q50*0.4),4)*$X$1,2),ROUND(ROUND((Basisbedragen!$C$23*0.4),4)*$X$1,2)))</f>
        <v>40.72</v>
      </c>
      <c r="I52" s="316">
        <f t="shared" si="8"/>
        <v>39.75</v>
      </c>
      <c r="J52" s="316">
        <f t="shared" si="8"/>
        <v>39.75</v>
      </c>
      <c r="K52" s="316">
        <f t="shared" si="8"/>
        <v>39.75</v>
      </c>
      <c r="L52" s="316">
        <f t="shared" si="8"/>
        <v>39.75</v>
      </c>
      <c r="M52" s="161"/>
      <c r="N52" s="234">
        <f t="shared" si="6"/>
        <v>34.229999999999997</v>
      </c>
      <c r="O52" s="316">
        <f t="shared" si="4"/>
        <v>39.75</v>
      </c>
      <c r="P52" s="161"/>
      <c r="Q52" s="316">
        <f>IF(ROUND(ROUND(('Loonschijven_Tranches salariale'!$Q50*0.55),4)*$X$1,2)&lt;Q$8,Q$8,IF('Loonschijven_Tranches salariale'!$Q50&lt;Basisbedragen!$C$23,ROUND(ROUND(('Loonschijven_Tranches salariale'!$Q50*0.55),4)*$X$1,2),ROUND(ROUND((Basisbedragen!$C$23*0.55),4)*$X$1,2)))</f>
        <v>54.55</v>
      </c>
      <c r="R52" s="316">
        <f t="shared" si="9"/>
        <v>51.47</v>
      </c>
      <c r="S52" s="316">
        <f t="shared" si="9"/>
        <v>48.4</v>
      </c>
      <c r="T52" s="316">
        <f t="shared" si="9"/>
        <v>45.32</v>
      </c>
      <c r="U52" s="316">
        <f t="shared" si="9"/>
        <v>44.69</v>
      </c>
      <c r="V52" s="161"/>
      <c r="W52" s="234">
        <f>N52+ROUND(Basisbedragen!$C$57*$X$1,2)</f>
        <v>39.169999999999995</v>
      </c>
      <c r="X52" s="316">
        <f>O52+ROUND(Basisbedragen!$C$57*$X$1,2)</f>
        <v>44.69</v>
      </c>
      <c r="Y52" s="161"/>
    </row>
    <row r="53" spans="1:25" ht="15" thickBot="1">
      <c r="A53" s="364">
        <f t="shared" si="5"/>
        <v>44</v>
      </c>
      <c r="C53" s="316">
        <f>IF(ROUND(ROUND(('Loonschijven_Tranches salariale'!$Q51*0.65),4)*$X$1,2)&lt;C$8,C$8,ROUND(ROUND(('Loonschijven_Tranches salariale'!$Q51*0.65),4)*$X$1,2))</f>
        <v>54.7</v>
      </c>
      <c r="D53" s="316">
        <f>IF(ROUND(ROUND(('Loonschijven_Tranches salariale'!$Q51*0.6),4)*$X$1,2)&lt;D$8,D$8,ROUND(ROUND(('Loonschijven_Tranches salariale'!$Q51*0.6),4)*$X$1,2))</f>
        <v>50.49</v>
      </c>
      <c r="E53" s="316">
        <f>IF(ROUND(ROUND(('Loonschijven_Tranches salariale'!$Q51*0.6),4)*$X$1,2)&lt;E$8,E$8,IF('Loonschijven_Tranches salariale'!$Q51&lt;Basisbedragen!$C$24,ROUND(ROUND(('Loonschijven_Tranches salariale'!$Q51*0.6),4)*$X$1,2),ROUND(ROUND((Basisbedragen!$C$24*0.6),4)*$X$1,2)))</f>
        <v>50.49</v>
      </c>
      <c r="F53" s="161"/>
      <c r="G53" s="316">
        <f>IF(ROUND(ROUND(('Loonschijven_Tranches salariale'!$Q51*0.6),4)*$X$1,2)&lt;G$8,G$8,IF('Loonschijven_Tranches salariale'!$Q51&lt;Basisbedragen!$C$23,ROUND(ROUND(('Loonschijven_Tranches salariale'!$Q51*0.6),4)*$X$1,2),ROUND(ROUND((Basisbedragen!$C$23*0.6),4)*$X$1,2)))</f>
        <v>50.49</v>
      </c>
      <c r="H53" s="316">
        <f>IF(ROUND(ROUND(('Loonschijven_Tranches salariale'!$Q51*0.4),4)*$X$1,2)&lt;H$8,H$8,IF('Loonschijven_Tranches salariale'!$Q51&lt;Basisbedragen!$C$23,ROUND(ROUND(('Loonschijven_Tranches salariale'!$Q51*0.4),4)*$X$1,2),ROUND(ROUND((Basisbedragen!$C$23*0.4),4)*$X$1,2)))</f>
        <v>40.72</v>
      </c>
      <c r="I53" s="316">
        <f t="shared" si="8"/>
        <v>39.75</v>
      </c>
      <c r="J53" s="316">
        <f t="shared" si="8"/>
        <v>39.75</v>
      </c>
      <c r="K53" s="316">
        <f t="shared" si="8"/>
        <v>39.75</v>
      </c>
      <c r="L53" s="316">
        <f t="shared" si="8"/>
        <v>39.75</v>
      </c>
      <c r="M53" s="161"/>
      <c r="N53" s="234">
        <f t="shared" si="6"/>
        <v>34.229999999999997</v>
      </c>
      <c r="O53" s="316">
        <f t="shared" si="4"/>
        <v>39.75</v>
      </c>
      <c r="P53" s="161"/>
      <c r="Q53" s="316">
        <f>IF(ROUND(ROUND(('Loonschijven_Tranches salariale'!$Q51*0.55),4)*$X$1,2)&lt;Q$8,Q$8,IF('Loonschijven_Tranches salariale'!$Q51&lt;Basisbedragen!$C$23,ROUND(ROUND(('Loonschijven_Tranches salariale'!$Q51*0.55),4)*$X$1,2),ROUND(ROUND((Basisbedragen!$C$23*0.55),4)*$X$1,2)))</f>
        <v>54.55</v>
      </c>
      <c r="R53" s="316">
        <f t="shared" si="9"/>
        <v>51.47</v>
      </c>
      <c r="S53" s="316">
        <f t="shared" si="9"/>
        <v>48.4</v>
      </c>
      <c r="T53" s="316">
        <f t="shared" si="9"/>
        <v>45.32</v>
      </c>
      <c r="U53" s="316">
        <f t="shared" si="9"/>
        <v>44.69</v>
      </c>
      <c r="V53" s="161"/>
      <c r="W53" s="234">
        <f>N53+ROUND(Basisbedragen!$C$57*$X$1,2)</f>
        <v>39.169999999999995</v>
      </c>
      <c r="X53" s="316">
        <f>O53+ROUND(Basisbedragen!$C$57*$X$1,2)</f>
        <v>44.69</v>
      </c>
      <c r="Y53" s="161"/>
    </row>
    <row r="54" spans="1:25" ht="15" thickBot="1">
      <c r="A54" s="364">
        <f t="shared" si="5"/>
        <v>45</v>
      </c>
      <c r="C54" s="316">
        <f>IF(ROUND(ROUND(('Loonschijven_Tranches salariale'!$Q52*0.65),4)*$X$1,2)&lt;C$8,C$8,ROUND(ROUND(('Loonschijven_Tranches salariale'!$Q52*0.65),4)*$X$1,2))</f>
        <v>55.68</v>
      </c>
      <c r="D54" s="316">
        <f>IF(ROUND(ROUND(('Loonschijven_Tranches salariale'!$Q52*0.6),4)*$X$1,2)&lt;D$8,D$8,ROUND(ROUND(('Loonschijven_Tranches salariale'!$Q52*0.6),4)*$X$1,2))</f>
        <v>51.39</v>
      </c>
      <c r="E54" s="316">
        <f>IF(ROUND(ROUND(('Loonschijven_Tranches salariale'!$Q52*0.6),4)*$X$1,2)&lt;E$8,E$8,IF('Loonschijven_Tranches salariale'!$Q52&lt;Basisbedragen!$C$24,ROUND(ROUND(('Loonschijven_Tranches salariale'!$Q52*0.6),4)*$X$1,2),ROUND(ROUND((Basisbedragen!$C$24*0.6),4)*$X$1,2)))</f>
        <v>51.39</v>
      </c>
      <c r="F54" s="161"/>
      <c r="G54" s="316">
        <f>IF(ROUND(ROUND(('Loonschijven_Tranches salariale'!$Q52*0.6),4)*$X$1,2)&lt;G$8,G$8,IF('Loonschijven_Tranches salariale'!$Q52&lt;Basisbedragen!$C$23,ROUND(ROUND(('Loonschijven_Tranches salariale'!$Q52*0.6),4)*$X$1,2),ROUND(ROUND((Basisbedragen!$C$23*0.6),4)*$X$1,2)))</f>
        <v>51.39</v>
      </c>
      <c r="H54" s="316">
        <f>IF(ROUND(ROUND(('Loonschijven_Tranches salariale'!$Q52*0.4),4)*$X$1,2)&lt;H$8,H$8,IF('Loonschijven_Tranches salariale'!$Q52&lt;Basisbedragen!$C$23,ROUND(ROUND(('Loonschijven_Tranches salariale'!$Q52*0.4),4)*$X$1,2),ROUND(ROUND((Basisbedragen!$C$23*0.4),4)*$X$1,2)))</f>
        <v>40.72</v>
      </c>
      <c r="I54" s="316">
        <f t="shared" si="8"/>
        <v>39.75</v>
      </c>
      <c r="J54" s="316">
        <f t="shared" si="8"/>
        <v>39.75</v>
      </c>
      <c r="K54" s="316">
        <f t="shared" si="8"/>
        <v>39.75</v>
      </c>
      <c r="L54" s="316">
        <f t="shared" si="8"/>
        <v>39.75</v>
      </c>
      <c r="M54" s="161"/>
      <c r="N54" s="234">
        <f t="shared" si="6"/>
        <v>34.229999999999997</v>
      </c>
      <c r="O54" s="316">
        <f t="shared" si="4"/>
        <v>39.75</v>
      </c>
      <c r="P54" s="161"/>
      <c r="Q54" s="316">
        <f>IF(ROUND(ROUND(('Loonschijven_Tranches salariale'!$Q52*0.55),4)*$X$1,2)&lt;Q$8,Q$8,IF('Loonschijven_Tranches salariale'!$Q52&lt;Basisbedragen!$C$23,ROUND(ROUND(('Loonschijven_Tranches salariale'!$Q52*0.55),4)*$X$1,2),ROUND(ROUND((Basisbedragen!$C$23*0.55),4)*$X$1,2)))</f>
        <v>54.55</v>
      </c>
      <c r="R54" s="316">
        <f t="shared" si="9"/>
        <v>51.47</v>
      </c>
      <c r="S54" s="316">
        <f t="shared" si="9"/>
        <v>48.4</v>
      </c>
      <c r="T54" s="316">
        <f t="shared" si="9"/>
        <v>45.32</v>
      </c>
      <c r="U54" s="316">
        <f t="shared" si="9"/>
        <v>44.69</v>
      </c>
      <c r="V54" s="161"/>
      <c r="W54" s="234">
        <f>N54+ROUND(Basisbedragen!$C$57*$X$1,2)</f>
        <v>39.169999999999995</v>
      </c>
      <c r="X54" s="316">
        <f>O54+ROUND(Basisbedragen!$C$57*$X$1,2)</f>
        <v>44.69</v>
      </c>
      <c r="Y54" s="161"/>
    </row>
    <row r="55" spans="1:25" ht="15" thickBot="1">
      <c r="A55" s="364">
        <f t="shared" si="5"/>
        <v>46</v>
      </c>
      <c r="C55" s="316">
        <f>IF(ROUND(ROUND(('Loonschijven_Tranches salariale'!$Q53*0.65),4)*$X$1,2)&lt;C$8,C$8,ROUND(ROUND(('Loonschijven_Tranches salariale'!$Q53*0.65),4)*$X$1,2))</f>
        <v>56.65</v>
      </c>
      <c r="D55" s="316">
        <f>IF(ROUND(ROUND(('Loonschijven_Tranches salariale'!$Q53*0.6),4)*$X$1,2)&lt;D$8,D$8,ROUND(ROUND(('Loonschijven_Tranches salariale'!$Q53*0.6),4)*$X$1,2))</f>
        <v>52.3</v>
      </c>
      <c r="E55" s="316">
        <f>IF(ROUND(ROUND(('Loonschijven_Tranches salariale'!$Q53*0.6),4)*$X$1,2)&lt;E$8,E$8,IF('Loonschijven_Tranches salariale'!$Q53&lt;Basisbedragen!$C$24,ROUND(ROUND(('Loonschijven_Tranches salariale'!$Q53*0.6),4)*$X$1,2),ROUND(ROUND((Basisbedragen!$C$24*0.6),4)*$X$1,2)))</f>
        <v>52.3</v>
      </c>
      <c r="F55" s="161"/>
      <c r="G55" s="316">
        <f>IF(ROUND(ROUND(('Loonschijven_Tranches salariale'!$Q53*0.6),4)*$X$1,2)&lt;G$8,G$8,IF('Loonschijven_Tranches salariale'!$Q53&lt;Basisbedragen!$C$23,ROUND(ROUND(('Loonschijven_Tranches salariale'!$Q53*0.6),4)*$X$1,2),ROUND(ROUND((Basisbedragen!$C$23*0.6),4)*$X$1,2)))</f>
        <v>52.3</v>
      </c>
      <c r="H55" s="316">
        <f>IF(ROUND(ROUND(('Loonschijven_Tranches salariale'!$Q53*0.4),4)*$X$1,2)&lt;H$8,H$8,IF('Loonschijven_Tranches salariale'!$Q53&lt;Basisbedragen!$C$23,ROUND(ROUND(('Loonschijven_Tranches salariale'!$Q53*0.4),4)*$X$1,2),ROUND(ROUND((Basisbedragen!$C$23*0.4),4)*$X$1,2)))</f>
        <v>40.72</v>
      </c>
      <c r="I55" s="316">
        <f t="shared" si="8"/>
        <v>39.75</v>
      </c>
      <c r="J55" s="316">
        <f t="shared" si="8"/>
        <v>39.75</v>
      </c>
      <c r="K55" s="316">
        <f t="shared" si="8"/>
        <v>39.75</v>
      </c>
      <c r="L55" s="316">
        <f t="shared" si="8"/>
        <v>39.75</v>
      </c>
      <c r="M55" s="161"/>
      <c r="N55" s="234">
        <f t="shared" si="6"/>
        <v>34.229999999999997</v>
      </c>
      <c r="O55" s="316">
        <f t="shared" si="4"/>
        <v>39.75</v>
      </c>
      <c r="P55" s="161"/>
      <c r="Q55" s="316">
        <f>IF(ROUND(ROUND(('Loonschijven_Tranches salariale'!$Q53*0.55),4)*$X$1,2)&lt;Q$8,Q$8,IF('Loonschijven_Tranches salariale'!$Q53&lt;Basisbedragen!$C$23,ROUND(ROUND(('Loonschijven_Tranches salariale'!$Q53*0.55),4)*$X$1,2),ROUND(ROUND((Basisbedragen!$C$23*0.55),4)*$X$1,2)))</f>
        <v>54.55</v>
      </c>
      <c r="R55" s="316">
        <f t="shared" si="9"/>
        <v>51.47</v>
      </c>
      <c r="S55" s="316">
        <f t="shared" si="9"/>
        <v>48.4</v>
      </c>
      <c r="T55" s="316">
        <f t="shared" si="9"/>
        <v>45.32</v>
      </c>
      <c r="U55" s="316">
        <f t="shared" si="9"/>
        <v>44.69</v>
      </c>
      <c r="V55" s="161"/>
      <c r="W55" s="234">
        <f>N55+ROUND(Basisbedragen!$C$57*$X$1,2)</f>
        <v>39.169999999999995</v>
      </c>
      <c r="X55" s="316">
        <f>O55+ROUND(Basisbedragen!$C$57*$X$1,2)</f>
        <v>44.69</v>
      </c>
      <c r="Y55" s="161"/>
    </row>
    <row r="56" spans="1:25" ht="15" thickBot="1">
      <c r="A56" s="364">
        <f t="shared" si="5"/>
        <v>47</v>
      </c>
      <c r="C56" s="316">
        <f>IF(ROUND(ROUND(('Loonschijven_Tranches salariale'!$Q54*0.65),4)*$X$1,2)&lt;C$8,C$8,ROUND(ROUND(('Loonschijven_Tranches salariale'!$Q54*0.65),4)*$X$1,2))</f>
        <v>57.63</v>
      </c>
      <c r="D56" s="316">
        <f>IF(ROUND(ROUND(('Loonschijven_Tranches salariale'!$Q54*0.6),4)*$X$1,2)&lt;D$8,D$8,ROUND(ROUND(('Loonschijven_Tranches salariale'!$Q54*0.6),4)*$X$1,2))</f>
        <v>53.2</v>
      </c>
      <c r="E56" s="316">
        <f>IF(ROUND(ROUND(('Loonschijven_Tranches salariale'!$Q54*0.6),4)*$X$1,2)&lt;E$8,E$8,IF('Loonschijven_Tranches salariale'!$Q54&lt;Basisbedragen!$C$24,ROUND(ROUND(('Loonschijven_Tranches salariale'!$Q54*0.6),4)*$X$1,2),ROUND(ROUND((Basisbedragen!$C$24*0.6),4)*$X$1,2)))</f>
        <v>53.2</v>
      </c>
      <c r="F56" s="161"/>
      <c r="G56" s="316">
        <f>IF(ROUND(ROUND(('Loonschijven_Tranches salariale'!$Q54*0.6),4)*$X$1,2)&lt;G$8,G$8,IF('Loonschijven_Tranches salariale'!$Q54&lt;Basisbedragen!$C$23,ROUND(ROUND(('Loonschijven_Tranches salariale'!$Q54*0.6),4)*$X$1,2),ROUND(ROUND((Basisbedragen!$C$23*0.6),4)*$X$1,2)))</f>
        <v>53.2</v>
      </c>
      <c r="H56" s="316">
        <f>IF(ROUND(ROUND(('Loonschijven_Tranches salariale'!$Q54*0.4),4)*$X$1,2)&lt;H$8,H$8,IF('Loonschijven_Tranches salariale'!$Q54&lt;Basisbedragen!$C$23,ROUND(ROUND(('Loonschijven_Tranches salariale'!$Q54*0.4),4)*$X$1,2),ROUND(ROUND((Basisbedragen!$C$23*0.4),4)*$X$1,2)))</f>
        <v>40.72</v>
      </c>
      <c r="I56" s="316">
        <f t="shared" si="8"/>
        <v>39.75</v>
      </c>
      <c r="J56" s="316">
        <f t="shared" si="8"/>
        <v>39.75</v>
      </c>
      <c r="K56" s="316">
        <f t="shared" si="8"/>
        <v>39.75</v>
      </c>
      <c r="L56" s="316">
        <f t="shared" si="8"/>
        <v>39.75</v>
      </c>
      <c r="M56" s="161"/>
      <c r="N56" s="234">
        <f t="shared" si="6"/>
        <v>34.229999999999997</v>
      </c>
      <c r="O56" s="316">
        <f t="shared" si="4"/>
        <v>39.75</v>
      </c>
      <c r="P56" s="161"/>
      <c r="Q56" s="316">
        <f>IF(ROUND(ROUND(('Loonschijven_Tranches salariale'!$Q54*0.55),4)*$X$1,2)&lt;Q$8,Q$8,IF('Loonschijven_Tranches salariale'!$Q54&lt;Basisbedragen!$C$23,ROUND(ROUND(('Loonschijven_Tranches salariale'!$Q54*0.55),4)*$X$1,2),ROUND(ROUND((Basisbedragen!$C$23*0.55),4)*$X$1,2)))</f>
        <v>54.55</v>
      </c>
      <c r="R56" s="316">
        <f t="shared" si="9"/>
        <v>51.47</v>
      </c>
      <c r="S56" s="316">
        <f t="shared" si="9"/>
        <v>48.4</v>
      </c>
      <c r="T56" s="316">
        <f t="shared" si="9"/>
        <v>45.32</v>
      </c>
      <c r="U56" s="316">
        <f t="shared" si="9"/>
        <v>44.69</v>
      </c>
      <c r="V56" s="161"/>
      <c r="W56" s="234">
        <f>N56+ROUND(Basisbedragen!$C$57*$X$1,2)</f>
        <v>39.169999999999995</v>
      </c>
      <c r="X56" s="316">
        <f>O56+ROUND(Basisbedragen!$C$57*$X$1,2)</f>
        <v>44.69</v>
      </c>
      <c r="Y56" s="161"/>
    </row>
    <row r="57" spans="1:25" ht="15" thickBot="1">
      <c r="A57" s="364">
        <f t="shared" si="5"/>
        <v>48</v>
      </c>
      <c r="C57" s="316">
        <f>IF(ROUND(ROUND(('Loonschijven_Tranches salariale'!$Q55*0.65),4)*$X$1,2)&lt;C$8,C$8,ROUND(ROUND(('Loonschijven_Tranches salariale'!$Q55*0.65),4)*$X$1,2))</f>
        <v>58.61</v>
      </c>
      <c r="D57" s="316">
        <f>IF(ROUND(ROUND(('Loonschijven_Tranches salariale'!$Q55*0.6),4)*$X$1,2)&lt;D$8,D$8,ROUND(ROUND(('Loonschijven_Tranches salariale'!$Q55*0.6),4)*$X$1,2))</f>
        <v>54.1</v>
      </c>
      <c r="E57" s="316">
        <f>IF(ROUND(ROUND(('Loonschijven_Tranches salariale'!$Q55*0.6),4)*$X$1,2)&lt;E$8,E$8,IF('Loonschijven_Tranches salariale'!$Q55&lt;Basisbedragen!$C$24,ROUND(ROUND(('Loonschijven_Tranches salariale'!$Q55*0.6),4)*$X$1,2),ROUND(ROUND((Basisbedragen!$C$24*0.6),4)*$X$1,2)))</f>
        <v>54.1</v>
      </c>
      <c r="F57" s="161"/>
      <c r="G57" s="316">
        <f>IF(ROUND(ROUND(('Loonschijven_Tranches salariale'!$Q55*0.6),4)*$X$1,2)&lt;G$8,G$8,IF('Loonschijven_Tranches salariale'!$Q55&lt;Basisbedragen!$C$23,ROUND(ROUND(('Loonschijven_Tranches salariale'!$Q55*0.6),4)*$X$1,2),ROUND(ROUND((Basisbedragen!$C$23*0.6),4)*$X$1,2)))</f>
        <v>54.1</v>
      </c>
      <c r="H57" s="316">
        <f>IF(ROUND(ROUND(('Loonschijven_Tranches salariale'!$Q55*0.4),4)*$X$1,2)&lt;H$8,H$8,IF('Loonschijven_Tranches salariale'!$Q55&lt;Basisbedragen!$C$23,ROUND(ROUND(('Loonschijven_Tranches salariale'!$Q55*0.4),4)*$X$1,2),ROUND(ROUND((Basisbedragen!$C$23*0.4),4)*$X$1,2)))</f>
        <v>40.72</v>
      </c>
      <c r="I57" s="316">
        <f t="shared" si="8"/>
        <v>39.75</v>
      </c>
      <c r="J57" s="316">
        <f t="shared" si="8"/>
        <v>39.75</v>
      </c>
      <c r="K57" s="316">
        <f t="shared" si="8"/>
        <v>39.75</v>
      </c>
      <c r="L57" s="316">
        <f t="shared" si="8"/>
        <v>39.75</v>
      </c>
      <c r="M57" s="161"/>
      <c r="N57" s="234">
        <f t="shared" si="6"/>
        <v>34.229999999999997</v>
      </c>
      <c r="O57" s="316">
        <f t="shared" si="4"/>
        <v>39.75</v>
      </c>
      <c r="P57" s="161"/>
      <c r="Q57" s="316">
        <f>IF(ROUND(ROUND(('Loonschijven_Tranches salariale'!$Q55*0.55),4)*$X$1,2)&lt;Q$8,Q$8,IF('Loonschijven_Tranches salariale'!$Q55&lt;Basisbedragen!$C$23,ROUND(ROUND(('Loonschijven_Tranches salariale'!$Q55*0.55),4)*$X$1,2),ROUND(ROUND((Basisbedragen!$C$23*0.55),4)*$X$1,2)))</f>
        <v>54.55</v>
      </c>
      <c r="R57" s="316">
        <f t="shared" si="9"/>
        <v>51.47</v>
      </c>
      <c r="S57" s="316">
        <f t="shared" si="9"/>
        <v>48.4</v>
      </c>
      <c r="T57" s="316">
        <f t="shared" si="9"/>
        <v>45.32</v>
      </c>
      <c r="U57" s="316">
        <f t="shared" si="9"/>
        <v>44.69</v>
      </c>
      <c r="V57" s="161"/>
      <c r="W57" s="234">
        <f>N57+ROUND(Basisbedragen!$C$57*$X$1,2)</f>
        <v>39.169999999999995</v>
      </c>
      <c r="X57" s="316">
        <f>O57+ROUND(Basisbedragen!$C$57*$X$1,2)</f>
        <v>44.69</v>
      </c>
      <c r="Y57" s="161"/>
    </row>
    <row r="58" spans="1:25" ht="15" thickBot="1">
      <c r="A58" s="364">
        <f t="shared" si="5"/>
        <v>49</v>
      </c>
      <c r="C58" s="316">
        <f>IF(ROUND(ROUND(('Loonschijven_Tranches salariale'!$Q56*0.65),4)*$X$1,2)&lt;C$8,C$8,ROUND(ROUND(('Loonschijven_Tranches salariale'!$Q56*0.65),4)*$X$1,2))</f>
        <v>59.58</v>
      </c>
      <c r="D58" s="316">
        <f>IF(ROUND(ROUND(('Loonschijven_Tranches salariale'!$Q56*0.6),4)*$X$1,2)&lt;D$8,D$8,ROUND(ROUND(('Loonschijven_Tranches salariale'!$Q56*0.6),4)*$X$1,2))</f>
        <v>55</v>
      </c>
      <c r="E58" s="316">
        <f>IF(ROUND(ROUND(('Loonschijven_Tranches salariale'!$Q56*0.6),4)*$X$1,2)&lt;E$8,E$8,IF('Loonschijven_Tranches salariale'!$Q56&lt;Basisbedragen!$C$24,ROUND(ROUND(('Loonschijven_Tranches salariale'!$Q56*0.6),4)*$X$1,2),ROUND(ROUND((Basisbedragen!$C$24*0.6),4)*$X$1,2)))</f>
        <v>55</v>
      </c>
      <c r="F58" s="161"/>
      <c r="G58" s="316">
        <f>IF(ROUND(ROUND(('Loonschijven_Tranches salariale'!$Q56*0.6),4)*$X$1,2)&lt;G$8,G$8,IF('Loonschijven_Tranches salariale'!$Q56&lt;Basisbedragen!$C$23,ROUND(ROUND(('Loonschijven_Tranches salariale'!$Q56*0.6),4)*$X$1,2),ROUND(ROUND((Basisbedragen!$C$23*0.6),4)*$X$1,2)))</f>
        <v>55</v>
      </c>
      <c r="H58" s="316">
        <f>IF(ROUND(ROUND(('Loonschijven_Tranches salariale'!$Q56*0.4),4)*$X$1,2)&lt;H$8,H$8,IF('Loonschijven_Tranches salariale'!$Q56&lt;Basisbedragen!$C$23,ROUND(ROUND(('Loonschijven_Tranches salariale'!$Q56*0.4),4)*$X$1,2),ROUND(ROUND((Basisbedragen!$C$23*0.4),4)*$X$1,2)))</f>
        <v>40.72</v>
      </c>
      <c r="I58" s="316">
        <f t="shared" si="8"/>
        <v>39.75</v>
      </c>
      <c r="J58" s="316">
        <f t="shared" si="8"/>
        <v>39.75</v>
      </c>
      <c r="K58" s="316">
        <f t="shared" si="8"/>
        <v>39.75</v>
      </c>
      <c r="L58" s="316">
        <f t="shared" si="8"/>
        <v>39.75</v>
      </c>
      <c r="M58" s="161"/>
      <c r="N58" s="234">
        <f t="shared" si="6"/>
        <v>34.229999999999997</v>
      </c>
      <c r="O58" s="316">
        <f t="shared" si="4"/>
        <v>39.75</v>
      </c>
      <c r="P58" s="161"/>
      <c r="Q58" s="316">
        <f>IF(ROUND(ROUND(('Loonschijven_Tranches salariale'!$Q56*0.55),4)*$X$1,2)&lt;Q$8,Q$8,IF('Loonschijven_Tranches salariale'!$Q56&lt;Basisbedragen!$C$23,ROUND(ROUND(('Loonschijven_Tranches salariale'!$Q56*0.55),4)*$X$1,2),ROUND(ROUND((Basisbedragen!$C$23*0.55),4)*$X$1,2)))</f>
        <v>54.55</v>
      </c>
      <c r="R58" s="316">
        <f t="shared" si="9"/>
        <v>51.47</v>
      </c>
      <c r="S58" s="316">
        <f t="shared" si="9"/>
        <v>48.4</v>
      </c>
      <c r="T58" s="316">
        <f t="shared" si="9"/>
        <v>45.32</v>
      </c>
      <c r="U58" s="316">
        <f t="shared" si="9"/>
        <v>44.69</v>
      </c>
      <c r="V58" s="161"/>
      <c r="W58" s="234">
        <f>N58+ROUND(Basisbedragen!$C$57*$X$1,2)</f>
        <v>39.169999999999995</v>
      </c>
      <c r="X58" s="316">
        <f>O58+ROUND(Basisbedragen!$C$57*$X$1,2)</f>
        <v>44.69</v>
      </c>
      <c r="Y58" s="161"/>
    </row>
    <row r="59" spans="1:25" ht="15" thickBot="1">
      <c r="A59" s="364">
        <f t="shared" si="5"/>
        <v>50</v>
      </c>
      <c r="C59" s="316">
        <f>IF(ROUND(ROUND(('Loonschijven_Tranches salariale'!$Q57*0.65),4)*$X$1,2)&lt;C$8,C$8,ROUND(ROUND(('Loonschijven_Tranches salariale'!$Q57*0.65),4)*$X$1,2))</f>
        <v>60.56</v>
      </c>
      <c r="D59" s="316">
        <f>IF(ROUND(ROUND(('Loonschijven_Tranches salariale'!$Q57*0.6),4)*$X$1,2)&lt;D$8,D$8,ROUND(ROUND(('Loonschijven_Tranches salariale'!$Q57*0.6),4)*$X$1,2))</f>
        <v>55.9</v>
      </c>
      <c r="E59" s="316">
        <f>IF(ROUND(ROUND(('Loonschijven_Tranches salariale'!$Q57*0.6),4)*$X$1,2)&lt;E$8,E$8,IF('Loonschijven_Tranches salariale'!$Q57&lt;Basisbedragen!$C$24,ROUND(ROUND(('Loonschijven_Tranches salariale'!$Q57*0.6),4)*$X$1,2),ROUND(ROUND((Basisbedragen!$C$24*0.6),4)*$X$1,2)))</f>
        <v>55.9</v>
      </c>
      <c r="F59" s="161"/>
      <c r="G59" s="316">
        <f>IF(ROUND(ROUND(('Loonschijven_Tranches salariale'!$Q57*0.6),4)*$X$1,2)&lt;G$8,G$8,IF('Loonschijven_Tranches salariale'!$Q57&lt;Basisbedragen!$C$23,ROUND(ROUND(('Loonschijven_Tranches salariale'!$Q57*0.6),4)*$X$1,2),ROUND(ROUND((Basisbedragen!$C$23*0.6),4)*$X$1,2)))</f>
        <v>55.9</v>
      </c>
      <c r="H59" s="316">
        <f>IF(ROUND(ROUND(('Loonschijven_Tranches salariale'!$Q57*0.4),4)*$X$1,2)&lt;H$8,H$8,IF('Loonschijven_Tranches salariale'!$Q57&lt;Basisbedragen!$C$23,ROUND(ROUND(('Loonschijven_Tranches salariale'!$Q57*0.4),4)*$X$1,2),ROUND(ROUND((Basisbedragen!$C$23*0.4),4)*$X$1,2)))</f>
        <v>40.72</v>
      </c>
      <c r="I59" s="316">
        <f t="shared" si="8"/>
        <v>39.75</v>
      </c>
      <c r="J59" s="316">
        <f t="shared" si="8"/>
        <v>39.75</v>
      </c>
      <c r="K59" s="316">
        <f t="shared" si="8"/>
        <v>39.75</v>
      </c>
      <c r="L59" s="316">
        <f t="shared" si="8"/>
        <v>39.75</v>
      </c>
      <c r="M59" s="161"/>
      <c r="N59" s="234">
        <f t="shared" si="6"/>
        <v>34.229999999999997</v>
      </c>
      <c r="O59" s="316">
        <f t="shared" si="4"/>
        <v>39.75</v>
      </c>
      <c r="P59" s="161"/>
      <c r="Q59" s="316">
        <f>IF(ROUND(ROUND(('Loonschijven_Tranches salariale'!$Q57*0.55),4)*$X$1,2)&lt;Q$8,Q$8,IF('Loonschijven_Tranches salariale'!$Q57&lt;Basisbedragen!$C$23,ROUND(ROUND(('Loonschijven_Tranches salariale'!$Q57*0.55),4)*$X$1,2),ROUND(ROUND((Basisbedragen!$C$23*0.55),4)*$X$1,2)))</f>
        <v>54.55</v>
      </c>
      <c r="R59" s="316">
        <f t="shared" si="9"/>
        <v>51.47</v>
      </c>
      <c r="S59" s="316">
        <f t="shared" si="9"/>
        <v>48.4</v>
      </c>
      <c r="T59" s="316">
        <f t="shared" si="9"/>
        <v>45.32</v>
      </c>
      <c r="U59" s="316">
        <f t="shared" si="9"/>
        <v>44.69</v>
      </c>
      <c r="V59" s="161"/>
      <c r="W59" s="234">
        <f>N59+ROUND(Basisbedragen!$C$57*$X$1,2)</f>
        <v>39.169999999999995</v>
      </c>
      <c r="X59" s="316">
        <f>O59+ROUND(Basisbedragen!$C$57*$X$1,2)</f>
        <v>44.69</v>
      </c>
      <c r="Y59" s="161"/>
    </row>
    <row r="60" spans="1:25" ht="15" thickBot="1">
      <c r="A60" s="364">
        <f t="shared" si="5"/>
        <v>51</v>
      </c>
      <c r="C60" s="316">
        <f>IF(ROUND(ROUND(('Loonschijven_Tranches salariale'!$Q58*0.65),4)*$X$1,2)&lt;C$8,C$8,ROUND(ROUND(('Loonschijven_Tranches salariale'!$Q58*0.65),4)*$X$1,2))</f>
        <v>61.54</v>
      </c>
      <c r="D60" s="316">
        <f>IF(ROUND(ROUND(('Loonschijven_Tranches salariale'!$Q58*0.6),4)*$X$1,2)&lt;D$8,D$8,ROUND(ROUND(('Loonschijven_Tranches salariale'!$Q58*0.6),4)*$X$1,2))</f>
        <v>56.8</v>
      </c>
      <c r="E60" s="316">
        <f>IF(ROUND(ROUND(('Loonschijven_Tranches salariale'!$Q58*0.6),4)*$X$1,2)&lt;E$8,E$8,IF('Loonschijven_Tranches salariale'!$Q58&lt;Basisbedragen!$C$24,ROUND(ROUND(('Loonschijven_Tranches salariale'!$Q58*0.6),4)*$X$1,2),ROUND(ROUND((Basisbedragen!$C$24*0.6),4)*$X$1,2)))</f>
        <v>56.8</v>
      </c>
      <c r="F60" s="161"/>
      <c r="G60" s="316">
        <f>IF(ROUND(ROUND(('Loonschijven_Tranches salariale'!$Q58*0.6),4)*$X$1,2)&lt;G$8,G$8,IF('Loonschijven_Tranches salariale'!$Q58&lt;Basisbedragen!$C$23,ROUND(ROUND(('Loonschijven_Tranches salariale'!$Q58*0.6),4)*$X$1,2),ROUND(ROUND((Basisbedragen!$C$23*0.6),4)*$X$1,2)))</f>
        <v>56.8</v>
      </c>
      <c r="H60" s="316">
        <f>IF(ROUND(ROUND(('Loonschijven_Tranches salariale'!$Q58*0.4),4)*$X$1,2)&lt;H$8,H$8,IF('Loonschijven_Tranches salariale'!$Q58&lt;Basisbedragen!$C$23,ROUND(ROUND(('Loonschijven_Tranches salariale'!$Q58*0.4),4)*$X$1,2),ROUND(ROUND((Basisbedragen!$C$23*0.4),4)*$X$1,2)))</f>
        <v>40.72</v>
      </c>
      <c r="I60" s="316">
        <f t="shared" si="8"/>
        <v>39.75</v>
      </c>
      <c r="J60" s="316">
        <f t="shared" si="8"/>
        <v>39.75</v>
      </c>
      <c r="K60" s="316">
        <f t="shared" si="8"/>
        <v>39.75</v>
      </c>
      <c r="L60" s="316">
        <f t="shared" si="8"/>
        <v>39.75</v>
      </c>
      <c r="M60" s="161"/>
      <c r="N60" s="234">
        <f t="shared" si="6"/>
        <v>34.229999999999997</v>
      </c>
      <c r="O60" s="316">
        <f t="shared" si="4"/>
        <v>39.75</v>
      </c>
      <c r="P60" s="161"/>
      <c r="Q60" s="316">
        <f>IF(ROUND(ROUND(('Loonschijven_Tranches salariale'!$Q58*0.55),4)*$X$1,2)&lt;Q$8,Q$8,IF('Loonschijven_Tranches salariale'!$Q58&lt;Basisbedragen!$C$23,ROUND(ROUND(('Loonschijven_Tranches salariale'!$Q58*0.55),4)*$X$1,2),ROUND(ROUND((Basisbedragen!$C$23*0.55),4)*$X$1,2)))</f>
        <v>54.55</v>
      </c>
      <c r="R60" s="316">
        <f t="shared" si="9"/>
        <v>51.47</v>
      </c>
      <c r="S60" s="316">
        <f t="shared" si="9"/>
        <v>48.4</v>
      </c>
      <c r="T60" s="316">
        <f t="shared" si="9"/>
        <v>45.32</v>
      </c>
      <c r="U60" s="316">
        <f t="shared" si="9"/>
        <v>44.69</v>
      </c>
      <c r="V60" s="161"/>
      <c r="W60" s="234">
        <f>N60+ROUND(Basisbedragen!$C$57*$X$1,2)</f>
        <v>39.169999999999995</v>
      </c>
      <c r="X60" s="316">
        <f>O60+ROUND(Basisbedragen!$C$57*$X$1,2)</f>
        <v>44.69</v>
      </c>
      <c r="Y60" s="161"/>
    </row>
    <row r="61" spans="1:25" ht="15" thickBot="1">
      <c r="A61" s="364">
        <f t="shared" si="5"/>
        <v>52</v>
      </c>
      <c r="C61" s="316">
        <f>IF(ROUND(ROUND(('Loonschijven_Tranches salariale'!$Q59*0.65),4)*$X$1,2)&lt;C$8,C$8,ROUND(ROUND(('Loonschijven_Tranches salariale'!$Q59*0.65),4)*$X$1,2))</f>
        <v>62.51</v>
      </c>
      <c r="D61" s="316">
        <f>IF(ROUND(ROUND(('Loonschijven_Tranches salariale'!$Q59*0.6),4)*$X$1,2)&lt;D$8,D$8,ROUND(ROUND(('Loonschijven_Tranches salariale'!$Q59*0.6),4)*$X$1,2))</f>
        <v>57.7</v>
      </c>
      <c r="E61" s="316">
        <f>IF(ROUND(ROUND(('Loonschijven_Tranches salariale'!$Q59*0.6),4)*$X$1,2)&lt;E$8,E$8,IF('Loonschijven_Tranches salariale'!$Q59&lt;Basisbedragen!$C$24,ROUND(ROUND(('Loonschijven_Tranches salariale'!$Q59*0.6),4)*$X$1,2),ROUND(ROUND((Basisbedragen!$C$24*0.6),4)*$X$1,2)))</f>
        <v>57.7</v>
      </c>
      <c r="F61" s="161"/>
      <c r="G61" s="316">
        <f>IF(ROUND(ROUND(('Loonschijven_Tranches salariale'!$Q59*0.6),4)*$X$1,2)&lt;G$8,G$8,IF('Loonschijven_Tranches salariale'!$Q59&lt;Basisbedragen!$C$23,ROUND(ROUND(('Loonschijven_Tranches salariale'!$Q59*0.6),4)*$X$1,2),ROUND(ROUND((Basisbedragen!$C$23*0.6),4)*$X$1,2)))</f>
        <v>57.7</v>
      </c>
      <c r="H61" s="316">
        <f>IF(ROUND(ROUND(('Loonschijven_Tranches salariale'!$Q59*0.4),4)*$X$1,2)&lt;H$8,H$8,IF('Loonschijven_Tranches salariale'!$Q59&lt;Basisbedragen!$C$23,ROUND(ROUND(('Loonschijven_Tranches salariale'!$Q59*0.4),4)*$X$1,2),ROUND(ROUND((Basisbedragen!$C$23*0.4),4)*$X$1,2)))</f>
        <v>40.72</v>
      </c>
      <c r="I61" s="316">
        <f t="shared" si="8"/>
        <v>39.75</v>
      </c>
      <c r="J61" s="316">
        <f t="shared" si="8"/>
        <v>39.75</v>
      </c>
      <c r="K61" s="316">
        <f t="shared" si="8"/>
        <v>39.75</v>
      </c>
      <c r="L61" s="316">
        <f t="shared" si="8"/>
        <v>39.75</v>
      </c>
      <c r="M61" s="161"/>
      <c r="N61" s="234">
        <f t="shared" si="6"/>
        <v>34.229999999999997</v>
      </c>
      <c r="O61" s="316">
        <f t="shared" si="4"/>
        <v>39.75</v>
      </c>
      <c r="P61" s="161"/>
      <c r="Q61" s="316">
        <f>IF(ROUND(ROUND(('Loonschijven_Tranches salariale'!$Q59*0.55),4)*$X$1,2)&lt;Q$8,Q$8,IF('Loonschijven_Tranches salariale'!$Q59&lt;Basisbedragen!$C$23,ROUND(ROUND(('Loonschijven_Tranches salariale'!$Q59*0.55),4)*$X$1,2),ROUND(ROUND((Basisbedragen!$C$23*0.55),4)*$X$1,2)))</f>
        <v>54.55</v>
      </c>
      <c r="R61" s="316">
        <f t="shared" si="9"/>
        <v>51.47</v>
      </c>
      <c r="S61" s="316">
        <f t="shared" si="9"/>
        <v>48.4</v>
      </c>
      <c r="T61" s="316">
        <f t="shared" si="9"/>
        <v>45.32</v>
      </c>
      <c r="U61" s="316">
        <f t="shared" si="9"/>
        <v>44.69</v>
      </c>
      <c r="V61" s="161"/>
      <c r="W61" s="234">
        <f>N61+ROUND(Basisbedragen!$C$57*$X$1,2)</f>
        <v>39.169999999999995</v>
      </c>
      <c r="X61" s="316">
        <f>O61+ROUND(Basisbedragen!$C$57*$X$1,2)</f>
        <v>44.69</v>
      </c>
      <c r="Y61" s="161"/>
    </row>
    <row r="62" spans="1:25" ht="15" thickBot="1">
      <c r="A62" s="364">
        <f t="shared" si="5"/>
        <v>53</v>
      </c>
      <c r="C62" s="316">
        <f>IF(ROUND(ROUND(('Loonschijven_Tranches salariale'!$Q60*0.65),4)*$X$1,2)&lt;C$8,C$8,ROUND(ROUND(('Loonschijven_Tranches salariale'!$Q60*0.65),4)*$X$1,2))</f>
        <v>63.49</v>
      </c>
      <c r="D62" s="316">
        <f>IF(ROUND(ROUND(('Loonschijven_Tranches salariale'!$Q60*0.6),4)*$X$1,2)&lt;D$8,D$8,ROUND(ROUND(('Loonschijven_Tranches salariale'!$Q60*0.6),4)*$X$1,2))</f>
        <v>58.61</v>
      </c>
      <c r="E62" s="316">
        <f>IF(ROUND(ROUND(('Loonschijven_Tranches salariale'!$Q60*0.6),4)*$X$1,2)&lt;E$8,E$8,IF('Loonschijven_Tranches salariale'!$Q60&lt;Basisbedragen!$C$24,ROUND(ROUND(('Loonschijven_Tranches salariale'!$Q60*0.6),4)*$X$1,2),ROUND(ROUND((Basisbedragen!$C$24*0.6),4)*$X$1,2)))</f>
        <v>58.61</v>
      </c>
      <c r="F62" s="161"/>
      <c r="G62" s="316">
        <f>IF(ROUND(ROUND(('Loonschijven_Tranches salariale'!$Q60*0.6),4)*$X$1,2)&lt;G$8,G$8,IF('Loonschijven_Tranches salariale'!$Q60&lt;Basisbedragen!$C$23,ROUND(ROUND(('Loonschijven_Tranches salariale'!$Q60*0.6),4)*$X$1,2),ROUND(ROUND((Basisbedragen!$C$23*0.6),4)*$X$1,2)))</f>
        <v>58.61</v>
      </c>
      <c r="H62" s="316">
        <f>IF(ROUND(ROUND(('Loonschijven_Tranches salariale'!$Q60*0.4),4)*$X$1,2)&lt;H$8,H$8,IF('Loonschijven_Tranches salariale'!$Q60&lt;Basisbedragen!$C$23,ROUND(ROUND(('Loonschijven_Tranches salariale'!$Q60*0.4),4)*$X$1,2),ROUND(ROUND((Basisbedragen!$C$23*0.4),4)*$X$1,2)))</f>
        <v>40.72</v>
      </c>
      <c r="I62" s="316">
        <f t="shared" si="8"/>
        <v>39.75</v>
      </c>
      <c r="J62" s="316">
        <f t="shared" si="8"/>
        <v>39.75</v>
      </c>
      <c r="K62" s="316">
        <f t="shared" si="8"/>
        <v>39.75</v>
      </c>
      <c r="L62" s="316">
        <f t="shared" si="8"/>
        <v>39.75</v>
      </c>
      <c r="M62" s="161"/>
      <c r="N62" s="234">
        <f t="shared" si="6"/>
        <v>34.229999999999997</v>
      </c>
      <c r="O62" s="316">
        <f t="shared" si="4"/>
        <v>39.75</v>
      </c>
      <c r="P62" s="161"/>
      <c r="Q62" s="316">
        <f>IF(ROUND(ROUND(('Loonschijven_Tranches salariale'!$Q60*0.55),4)*$X$1,2)&lt;Q$8,Q$8,IF('Loonschijven_Tranches salariale'!$Q60&lt;Basisbedragen!$C$23,ROUND(ROUND(('Loonschijven_Tranches salariale'!$Q60*0.55),4)*$X$1,2),ROUND(ROUND((Basisbedragen!$C$23*0.55),4)*$X$1,2)))</f>
        <v>54.55</v>
      </c>
      <c r="R62" s="316">
        <f t="shared" si="9"/>
        <v>51.47</v>
      </c>
      <c r="S62" s="316">
        <f t="shared" si="9"/>
        <v>48.4</v>
      </c>
      <c r="T62" s="316">
        <f t="shared" si="9"/>
        <v>45.32</v>
      </c>
      <c r="U62" s="316">
        <f t="shared" si="9"/>
        <v>44.69</v>
      </c>
      <c r="V62" s="161"/>
      <c r="W62" s="234">
        <f>N62+ROUND(Basisbedragen!$C$57*$X$1,2)</f>
        <v>39.169999999999995</v>
      </c>
      <c r="X62" s="316">
        <f>O62+ROUND(Basisbedragen!$C$57*$X$1,2)</f>
        <v>44.69</v>
      </c>
      <c r="Y62" s="161"/>
    </row>
    <row r="63" spans="1:25" ht="15" thickBot="1">
      <c r="A63" s="364">
        <f t="shared" si="5"/>
        <v>54</v>
      </c>
      <c r="C63" s="316">
        <f>IF(ROUND(ROUND(('Loonschijven_Tranches salariale'!$Q61*0.65),4)*$X$1,2)&lt;C$8,C$8,ROUND(ROUND(('Loonschijven_Tranches salariale'!$Q61*0.65),4)*$X$1,2))</f>
        <v>63.98</v>
      </c>
      <c r="D63" s="316">
        <f>IF(ROUND(ROUND(('Loonschijven_Tranches salariale'!$Q61*0.6),4)*$X$1,2)&lt;D$8,D$8,ROUND(ROUND(('Loonschijven_Tranches salariale'!$Q61*0.6),4)*$X$1,2))</f>
        <v>59.06</v>
      </c>
      <c r="E63" s="316">
        <f>IF(ROUND(ROUND(('Loonschijven_Tranches salariale'!$Q61*0.6),4)*$X$1,2)&lt;E$8,E$8,IF('Loonschijven_Tranches salariale'!$Q61&lt;Basisbedragen!$C$24,ROUND(ROUND(('Loonschijven_Tranches salariale'!$Q61*0.6),4)*$X$1,2),ROUND(ROUND((Basisbedragen!$C$24*0.6),4)*$X$1,2)))</f>
        <v>59.06</v>
      </c>
      <c r="F63" s="161"/>
      <c r="G63" s="316">
        <f>IF(ROUND(ROUND(('Loonschijven_Tranches salariale'!$Q61*0.6),4)*$X$1,2)&lt;G$8,G$8,IF('Loonschijven_Tranches salariale'!$Q61&lt;Basisbedragen!$C$23,ROUND(ROUND(('Loonschijven_Tranches salariale'!$Q61*0.6),4)*$X$1,2),ROUND(ROUND((Basisbedragen!$C$23*0.6),4)*$X$1,2)))</f>
        <v>59.06</v>
      </c>
      <c r="H63" s="316">
        <f>IF(ROUND(ROUND(('Loonschijven_Tranches salariale'!$Q61*0.4),4)*$X$1,2)&lt;H$8,H$8,IF('Loonschijven_Tranches salariale'!$Q61&lt;Basisbedragen!$C$23,ROUND(ROUND(('Loonschijven_Tranches salariale'!$Q61*0.4),4)*$X$1,2),ROUND(ROUND((Basisbedragen!$C$23*0.4),4)*$X$1,2)))</f>
        <v>40.72</v>
      </c>
      <c r="I63" s="316">
        <f t="shared" si="8"/>
        <v>39.75</v>
      </c>
      <c r="J63" s="316">
        <f t="shared" si="8"/>
        <v>39.75</v>
      </c>
      <c r="K63" s="316">
        <f t="shared" si="8"/>
        <v>39.75</v>
      </c>
      <c r="L63" s="316">
        <f t="shared" si="8"/>
        <v>39.75</v>
      </c>
      <c r="M63" s="161"/>
      <c r="N63" s="234">
        <f t="shared" si="6"/>
        <v>34.229999999999997</v>
      </c>
      <c r="O63" s="316">
        <f t="shared" si="4"/>
        <v>39.75</v>
      </c>
      <c r="P63" s="161"/>
      <c r="Q63" s="316">
        <f>IF(ROUND(ROUND(('Loonschijven_Tranches salariale'!$Q61*0.55),4)*$X$1,2)&lt;Q$8,Q$8,IF('Loonschijven_Tranches salariale'!$Q61&lt;Basisbedragen!$C$23,ROUND(ROUND(('Loonschijven_Tranches salariale'!$Q61*0.55),4)*$X$1,2),ROUND(ROUND((Basisbedragen!$C$23*0.55),4)*$X$1,2)))</f>
        <v>54.55</v>
      </c>
      <c r="R63" s="316">
        <f t="shared" si="9"/>
        <v>51.47</v>
      </c>
      <c r="S63" s="316">
        <f t="shared" si="9"/>
        <v>48.4</v>
      </c>
      <c r="T63" s="316">
        <f t="shared" si="9"/>
        <v>45.32</v>
      </c>
      <c r="U63" s="316">
        <f t="shared" si="9"/>
        <v>44.69</v>
      </c>
      <c r="V63" s="161"/>
      <c r="W63" s="234">
        <f>N63+ROUND(Basisbedragen!$C$57*$X$1,2)</f>
        <v>39.169999999999995</v>
      </c>
      <c r="X63" s="316">
        <f>O63+ROUND(Basisbedragen!$C$57*$X$1,2)</f>
        <v>44.69</v>
      </c>
      <c r="Y63" s="161"/>
    </row>
    <row r="64" spans="1:25" ht="15" thickBot="1">
      <c r="A64" s="364">
        <f t="shared" si="5"/>
        <v>55</v>
      </c>
      <c r="C64" s="316">
        <f>IF(ROUND(ROUND(('Loonschijven_Tranches salariale'!$Q62*0.65),4)*$X$1,2)&lt;C$8,C$8,ROUND(ROUND(('Loonschijven_Tranches salariale'!$Q62*0.65),4)*$X$1,2))</f>
        <v>64.47</v>
      </c>
      <c r="D64" s="316">
        <f>IF(ROUND(ROUND(('Loonschijven_Tranches salariale'!$Q62*0.6),4)*$X$1,2)&lt;D$8,D$8,ROUND(ROUND(('Loonschijven_Tranches salariale'!$Q62*0.6),4)*$X$1,2))</f>
        <v>59.51</v>
      </c>
      <c r="E64" s="316">
        <f>IF(ROUND(ROUND(('Loonschijven_Tranches salariale'!$Q62*0.6),4)*$X$1,2)&lt;E$8,E$8,IF('Loonschijven_Tranches salariale'!$Q62&lt;Basisbedragen!$C$24,ROUND(ROUND(('Loonschijven_Tranches salariale'!$Q62*0.6),4)*$X$1,2),ROUND(ROUND((Basisbedragen!$C$24*0.6),4)*$X$1,2)))</f>
        <v>59.51</v>
      </c>
      <c r="F64" s="161"/>
      <c r="G64" s="316">
        <f>IF(ROUND(ROUND(('Loonschijven_Tranches salariale'!$Q62*0.6),4)*$X$1,2)&lt;G$8,G$8,IF('Loonschijven_Tranches salariale'!$Q62&lt;Basisbedragen!$C$23,ROUND(ROUND(('Loonschijven_Tranches salariale'!$Q62*0.6),4)*$X$1,2),ROUND(ROUND((Basisbedragen!$C$23*0.6),4)*$X$1,2)))</f>
        <v>59.51</v>
      </c>
      <c r="H64" s="316">
        <f>IF(ROUND(ROUND(('Loonschijven_Tranches salariale'!$Q62*0.4),4)*$X$1,2)&lt;H$8,H$8,IF('Loonschijven_Tranches salariale'!$Q62&lt;Basisbedragen!$C$23,ROUND(ROUND(('Loonschijven_Tranches salariale'!$Q62*0.4),4)*$X$1,2),ROUND(ROUND((Basisbedragen!$C$23*0.4),4)*$X$1,2)))</f>
        <v>40.72</v>
      </c>
      <c r="I64" s="316">
        <f t="shared" si="8"/>
        <v>39.75</v>
      </c>
      <c r="J64" s="316">
        <f t="shared" si="8"/>
        <v>39.75</v>
      </c>
      <c r="K64" s="316">
        <f t="shared" si="8"/>
        <v>39.75</v>
      </c>
      <c r="L64" s="316">
        <f t="shared" si="8"/>
        <v>39.75</v>
      </c>
      <c r="M64" s="161"/>
      <c r="N64" s="234">
        <f t="shared" si="6"/>
        <v>34.229999999999997</v>
      </c>
      <c r="O64" s="316">
        <f t="shared" si="4"/>
        <v>39.75</v>
      </c>
      <c r="P64" s="161"/>
      <c r="Q64" s="316">
        <f>IF(ROUND(ROUND(('Loonschijven_Tranches salariale'!$Q62*0.55),4)*$X$1,2)&lt;Q$8,Q$8,IF('Loonschijven_Tranches salariale'!$Q62&lt;Basisbedragen!$C$23,ROUND(ROUND(('Loonschijven_Tranches salariale'!$Q62*0.55),4)*$X$1,2),ROUND(ROUND((Basisbedragen!$C$23*0.55),4)*$X$1,2)))</f>
        <v>54.55</v>
      </c>
      <c r="R64" s="316">
        <f t="shared" si="9"/>
        <v>51.47</v>
      </c>
      <c r="S64" s="316">
        <f t="shared" si="9"/>
        <v>48.4</v>
      </c>
      <c r="T64" s="316">
        <f t="shared" si="9"/>
        <v>45.32</v>
      </c>
      <c r="U64" s="316">
        <f t="shared" si="9"/>
        <v>44.69</v>
      </c>
      <c r="V64" s="161"/>
      <c r="W64" s="234">
        <f>N64+ROUND(Basisbedragen!$C$57*$X$1,2)</f>
        <v>39.169999999999995</v>
      </c>
      <c r="X64" s="316">
        <f>O64+ROUND(Basisbedragen!$C$57*$X$1,2)</f>
        <v>44.69</v>
      </c>
      <c r="Y64" s="161"/>
    </row>
    <row r="65" spans="1:25" ht="15" thickBot="1">
      <c r="A65" s="364">
        <f t="shared" si="5"/>
        <v>56</v>
      </c>
      <c r="C65" s="316">
        <f>IF(ROUND(ROUND(('Loonschijven_Tranches salariale'!$Q63*0.65),4)*$X$1,2)&lt;C$8,C$8,ROUND(ROUND(('Loonschijven_Tranches salariale'!$Q63*0.65),4)*$X$1,2))</f>
        <v>65.44</v>
      </c>
      <c r="D65" s="316">
        <f>IF(ROUND(ROUND(('Loonschijven_Tranches salariale'!$Q63*0.6),4)*$X$1,2)&lt;D$8,D$8,ROUND(ROUND(('Loonschijven_Tranches salariale'!$Q63*0.6),4)*$X$1,2))</f>
        <v>60.41</v>
      </c>
      <c r="E65" s="316">
        <f>IF(ROUND(ROUND(('Loonschijven_Tranches salariale'!$Q63*0.6),4)*$X$1,2)&lt;E$8,E$8,IF('Loonschijven_Tranches salariale'!$Q63&lt;Basisbedragen!$C$24,ROUND(ROUND(('Loonschijven_Tranches salariale'!$Q63*0.6),4)*$X$1,2),ROUND(ROUND((Basisbedragen!$C$24*0.6),4)*$X$1,2)))</f>
        <v>60.41</v>
      </c>
      <c r="F65" s="161"/>
      <c r="G65" s="316">
        <f>IF(ROUND(ROUND(('Loonschijven_Tranches salariale'!$Q63*0.6),4)*$X$1,2)&lt;G$8,G$8,IF('Loonschijven_Tranches salariale'!$Q63&lt;Basisbedragen!$C$23,ROUND(ROUND(('Loonschijven_Tranches salariale'!$Q63*0.6),4)*$X$1,2),ROUND(ROUND((Basisbedragen!$C$23*0.6),4)*$X$1,2)))</f>
        <v>60.41</v>
      </c>
      <c r="H65" s="316">
        <f>IF(ROUND(ROUND(('Loonschijven_Tranches salariale'!$Q63*0.4),4)*$X$1,2)&lt;H$8,H$8,IF('Loonschijven_Tranches salariale'!$Q63&lt;Basisbedragen!$C$23,ROUND(ROUND(('Loonschijven_Tranches salariale'!$Q63*0.4),4)*$X$1,2),ROUND(ROUND((Basisbedragen!$C$23*0.4),4)*$X$1,2)))</f>
        <v>40.72</v>
      </c>
      <c r="I65" s="316">
        <f t="shared" si="8"/>
        <v>39.75</v>
      </c>
      <c r="J65" s="316">
        <f t="shared" si="8"/>
        <v>39.75</v>
      </c>
      <c r="K65" s="316">
        <f t="shared" si="8"/>
        <v>39.75</v>
      </c>
      <c r="L65" s="316">
        <f t="shared" si="8"/>
        <v>39.75</v>
      </c>
      <c r="M65" s="161"/>
      <c r="N65" s="234">
        <f t="shared" si="6"/>
        <v>34.229999999999997</v>
      </c>
      <c r="O65" s="316">
        <f t="shared" si="4"/>
        <v>39.75</v>
      </c>
      <c r="P65" s="161"/>
      <c r="Q65" s="316">
        <f>IF(ROUND(ROUND(('Loonschijven_Tranches salariale'!$Q63*0.55),4)*$X$1,2)&lt;Q$8,Q$8,IF('Loonschijven_Tranches salariale'!$Q63&lt;Basisbedragen!$C$23,ROUND(ROUND(('Loonschijven_Tranches salariale'!$Q63*0.55),4)*$X$1,2),ROUND(ROUND((Basisbedragen!$C$23*0.55),4)*$X$1,2)))</f>
        <v>55.38</v>
      </c>
      <c r="R65" s="316">
        <f t="shared" si="9"/>
        <v>52.14</v>
      </c>
      <c r="S65" s="316">
        <f t="shared" si="9"/>
        <v>48.9</v>
      </c>
      <c r="T65" s="316">
        <f t="shared" si="9"/>
        <v>45.65</v>
      </c>
      <c r="U65" s="316">
        <f t="shared" si="9"/>
        <v>44.69</v>
      </c>
      <c r="V65" s="161"/>
      <c r="W65" s="234">
        <f>N65+ROUND(Basisbedragen!$C$57*$X$1,2)</f>
        <v>39.169999999999995</v>
      </c>
      <c r="X65" s="316">
        <f>O65+ROUND(Basisbedragen!$C$57*$X$1,2)</f>
        <v>44.69</v>
      </c>
      <c r="Y65" s="161"/>
    </row>
    <row r="66" spans="1:25" ht="15" thickBot="1">
      <c r="A66" s="364">
        <f t="shared" si="5"/>
        <v>57</v>
      </c>
      <c r="C66" s="316">
        <f>IF(ROUND(ROUND(('Loonschijven_Tranches salariale'!$Q64*0.65),4)*$X$1,2)&lt;C$8,C$8,ROUND(ROUND(('Loonschijven_Tranches salariale'!$Q64*0.65),4)*$X$1,2))</f>
        <v>66.42</v>
      </c>
      <c r="D66" s="316">
        <f>IF(ROUND(ROUND(('Loonschijven_Tranches salariale'!$Q64*0.6),4)*$X$1,2)&lt;D$8,D$8,ROUND(ROUND(('Loonschijven_Tranches salariale'!$Q64*0.6),4)*$X$1,2))</f>
        <v>61.31</v>
      </c>
      <c r="E66" s="316">
        <f>IF(ROUND(ROUND(('Loonschijven_Tranches salariale'!$Q64*0.6),4)*$X$1,2)&lt;E$8,E$8,IF('Loonschijven_Tranches salariale'!$Q64&lt;Basisbedragen!$C$24,ROUND(ROUND(('Loonschijven_Tranches salariale'!$Q64*0.6),4)*$X$1,2),ROUND(ROUND((Basisbedragen!$C$24*0.6),4)*$X$1,2)))</f>
        <v>61.31</v>
      </c>
      <c r="F66" s="161"/>
      <c r="G66" s="316">
        <f>IF(ROUND(ROUND(('Loonschijven_Tranches salariale'!$Q64*0.6),4)*$X$1,2)&lt;G$8,G$8,IF('Loonschijven_Tranches salariale'!$Q64&lt;Basisbedragen!$C$23,ROUND(ROUND(('Loonschijven_Tranches salariale'!$Q64*0.6),4)*$X$1,2),ROUND(ROUND((Basisbedragen!$C$23*0.6),4)*$X$1,2)))</f>
        <v>61.31</v>
      </c>
      <c r="H66" s="316">
        <f>IF(ROUND(ROUND(('Loonschijven_Tranches salariale'!$Q64*0.4),4)*$X$1,2)&lt;H$8,H$8,IF('Loonschijven_Tranches salariale'!$Q64&lt;Basisbedragen!$C$23,ROUND(ROUND(('Loonschijven_Tranches salariale'!$Q64*0.4),4)*$X$1,2),ROUND(ROUND((Basisbedragen!$C$23*0.4),4)*$X$1,2)))</f>
        <v>40.869999999999997</v>
      </c>
      <c r="I66" s="316">
        <f t="shared" si="8"/>
        <v>39.75</v>
      </c>
      <c r="J66" s="316">
        <f t="shared" si="8"/>
        <v>39.75</v>
      </c>
      <c r="K66" s="316">
        <f t="shared" si="8"/>
        <v>39.75</v>
      </c>
      <c r="L66" s="316">
        <f t="shared" si="8"/>
        <v>39.75</v>
      </c>
      <c r="M66" s="161"/>
      <c r="N66" s="234">
        <f t="shared" si="6"/>
        <v>34.229999999999997</v>
      </c>
      <c r="O66" s="316">
        <f t="shared" si="4"/>
        <v>39.75</v>
      </c>
      <c r="P66" s="161"/>
      <c r="Q66" s="316">
        <f>IF(ROUND(ROUND(('Loonschijven_Tranches salariale'!$Q64*0.55),4)*$X$1,2)&lt;Q$8,Q$8,IF('Loonschijven_Tranches salariale'!$Q64&lt;Basisbedragen!$C$23,ROUND(ROUND(('Loonschijven_Tranches salariale'!$Q64*0.55),4)*$X$1,2),ROUND(ROUND((Basisbedragen!$C$23*0.55),4)*$X$1,2)))</f>
        <v>56.2</v>
      </c>
      <c r="R66" s="316">
        <f t="shared" si="9"/>
        <v>52.79</v>
      </c>
      <c r="S66" s="316">
        <f t="shared" si="9"/>
        <v>49.39</v>
      </c>
      <c r="T66" s="316">
        <f t="shared" si="9"/>
        <v>45.98</v>
      </c>
      <c r="U66" s="316">
        <f t="shared" si="9"/>
        <v>44.69</v>
      </c>
      <c r="V66" s="161"/>
      <c r="W66" s="234">
        <f>N66+ROUND(Basisbedragen!$C$57*$X$1,2)</f>
        <v>39.169999999999995</v>
      </c>
      <c r="X66" s="316">
        <f>O66+ROUND(Basisbedragen!$C$57*$X$1,2)</f>
        <v>44.69</v>
      </c>
      <c r="Y66" s="161"/>
    </row>
    <row r="67" spans="1:25" ht="15" thickBot="1">
      <c r="A67" s="364">
        <f t="shared" si="5"/>
        <v>58</v>
      </c>
      <c r="C67" s="316">
        <f>IF(ROUND(ROUND(('Loonschijven_Tranches salariale'!$Q65*0.65),4)*$X$1,2)&lt;C$8,C$8,ROUND(ROUND(('Loonschijven_Tranches salariale'!$Q65*0.65),4)*$X$1,2))</f>
        <v>67.400000000000006</v>
      </c>
      <c r="D67" s="316">
        <f>IF(ROUND(ROUND(('Loonschijven_Tranches salariale'!$Q65*0.6),4)*$X$1,2)&lt;D$8,D$8,ROUND(ROUND(('Loonschijven_Tranches salariale'!$Q65*0.6),4)*$X$1,2))</f>
        <v>62.21</v>
      </c>
      <c r="E67" s="316">
        <f>IF(ROUND(ROUND(('Loonschijven_Tranches salariale'!$Q65*0.6),4)*$X$1,2)&lt;E$8,E$8,IF('Loonschijven_Tranches salariale'!$Q65&lt;Basisbedragen!$C$24,ROUND(ROUND(('Loonschijven_Tranches salariale'!$Q65*0.6),4)*$X$1,2),ROUND(ROUND((Basisbedragen!$C$24*0.6),4)*$X$1,2)))</f>
        <v>62.21</v>
      </c>
      <c r="F67" s="161"/>
      <c r="G67" s="316">
        <f>IF(ROUND(ROUND(('Loonschijven_Tranches salariale'!$Q65*0.6),4)*$X$1,2)&lt;G$8,G$8,IF('Loonschijven_Tranches salariale'!$Q65&lt;Basisbedragen!$C$23,ROUND(ROUND(('Loonschijven_Tranches salariale'!$Q65*0.6),4)*$X$1,2),ROUND(ROUND((Basisbedragen!$C$23*0.6),4)*$X$1,2)))</f>
        <v>62.21</v>
      </c>
      <c r="H67" s="316">
        <f>IF(ROUND(ROUND(('Loonschijven_Tranches salariale'!$Q65*0.4),4)*$X$1,2)&lt;H$8,H$8,IF('Loonschijven_Tranches salariale'!$Q65&lt;Basisbedragen!$C$23,ROUND(ROUND(('Loonschijven_Tranches salariale'!$Q65*0.4),4)*$X$1,2),ROUND(ROUND((Basisbedragen!$C$23*0.4),4)*$X$1,2)))</f>
        <v>41.48</v>
      </c>
      <c r="I67" s="316">
        <f t="shared" si="8"/>
        <v>40.03</v>
      </c>
      <c r="J67" s="316">
        <f t="shared" si="8"/>
        <v>39.75</v>
      </c>
      <c r="K67" s="316">
        <f t="shared" si="8"/>
        <v>39.75</v>
      </c>
      <c r="L67" s="316">
        <f t="shared" si="8"/>
        <v>39.75</v>
      </c>
      <c r="M67" s="161"/>
      <c r="N67" s="234">
        <f t="shared" si="6"/>
        <v>34.229999999999997</v>
      </c>
      <c r="O67" s="316">
        <f t="shared" si="4"/>
        <v>39.75</v>
      </c>
      <c r="P67" s="161"/>
      <c r="Q67" s="316">
        <f>IF(ROUND(ROUND(('Loonschijven_Tranches salariale'!$Q65*0.55),4)*$X$1,2)&lt;Q$8,Q$8,IF('Loonschijven_Tranches salariale'!$Q65&lt;Basisbedragen!$C$23,ROUND(ROUND(('Loonschijven_Tranches salariale'!$Q65*0.55),4)*$X$1,2),ROUND(ROUND((Basisbedragen!$C$23*0.55),4)*$X$1,2)))</f>
        <v>57.03</v>
      </c>
      <c r="R67" s="316">
        <f t="shared" si="9"/>
        <v>53.46</v>
      </c>
      <c r="S67" s="316">
        <f t="shared" si="9"/>
        <v>49.89</v>
      </c>
      <c r="T67" s="316">
        <f t="shared" si="9"/>
        <v>46.31</v>
      </c>
      <c r="U67" s="316">
        <f t="shared" si="9"/>
        <v>44.69</v>
      </c>
      <c r="V67" s="161"/>
      <c r="W67" s="234">
        <f>N67+ROUND(Basisbedragen!$C$57*$X$1,2)</f>
        <v>39.169999999999995</v>
      </c>
      <c r="X67" s="316">
        <f>O67+ROUND(Basisbedragen!$C$57*$X$1,2)</f>
        <v>44.69</v>
      </c>
      <c r="Y67" s="161"/>
    </row>
    <row r="68" spans="1:25" ht="15" thickBot="1">
      <c r="A68" s="364">
        <f t="shared" si="5"/>
        <v>59</v>
      </c>
      <c r="C68" s="316">
        <f>IF(ROUND(ROUND(('Loonschijven_Tranches salariale'!$Q66*0.65),4)*$X$1,2)&lt;C$8,C$8,ROUND(ROUND(('Loonschijven_Tranches salariale'!$Q66*0.65),4)*$X$1,2))</f>
        <v>68.62</v>
      </c>
      <c r="D68" s="316">
        <f>IF(ROUND(ROUND(('Loonschijven_Tranches salariale'!$Q66*0.6),4)*$X$1,2)&lt;D$8,D$8,ROUND(ROUND(('Loonschijven_Tranches salariale'!$Q66*0.6),4)*$X$1,2))</f>
        <v>63.34</v>
      </c>
      <c r="E68" s="316">
        <f>IF(ROUND(ROUND(('Loonschijven_Tranches salariale'!$Q66*0.6),4)*$X$1,2)&lt;E$8,E$8,IF('Loonschijven_Tranches salariale'!$Q66&lt;Basisbedragen!$C$24,ROUND(ROUND(('Loonschijven_Tranches salariale'!$Q66*0.6),4)*$X$1,2),ROUND(ROUND((Basisbedragen!$C$24*0.6),4)*$X$1,2)))</f>
        <v>63.34</v>
      </c>
      <c r="F68" s="161"/>
      <c r="G68" s="316">
        <f>IF(ROUND(ROUND(('Loonschijven_Tranches salariale'!$Q66*0.6),4)*$X$1,2)&lt;G$8,G$8,IF('Loonschijven_Tranches salariale'!$Q66&lt;Basisbedragen!$C$23,ROUND(ROUND(('Loonschijven_Tranches salariale'!$Q66*0.6),4)*$X$1,2),ROUND(ROUND((Basisbedragen!$C$23*0.6),4)*$X$1,2)))</f>
        <v>63.34</v>
      </c>
      <c r="H68" s="316">
        <f>IF(ROUND(ROUND(('Loonschijven_Tranches salariale'!$Q66*0.4),4)*$X$1,2)&lt;H$8,H$8,IF('Loonschijven_Tranches salariale'!$Q66&lt;Basisbedragen!$C$23,ROUND(ROUND(('Loonschijven_Tranches salariale'!$Q66*0.4),4)*$X$1,2),ROUND(ROUND((Basisbedragen!$C$23*0.4),4)*$X$1,2)))</f>
        <v>42.23</v>
      </c>
      <c r="I68" s="316">
        <f t="shared" si="8"/>
        <v>40.630000000000003</v>
      </c>
      <c r="J68" s="316">
        <f t="shared" si="8"/>
        <v>39.75</v>
      </c>
      <c r="K68" s="316">
        <f t="shared" si="8"/>
        <v>39.75</v>
      </c>
      <c r="L68" s="316">
        <f t="shared" si="8"/>
        <v>39.75</v>
      </c>
      <c r="M68" s="161"/>
      <c r="N68" s="234">
        <f t="shared" si="6"/>
        <v>34.229999999999997</v>
      </c>
      <c r="O68" s="316">
        <f t="shared" si="4"/>
        <v>39.75</v>
      </c>
      <c r="P68" s="161"/>
      <c r="Q68" s="316">
        <f>IF(ROUND(ROUND(('Loonschijven_Tranches salariale'!$Q66*0.55),4)*$X$1,2)&lt;Q$8,Q$8,IF('Loonschijven_Tranches salariale'!$Q66&lt;Basisbedragen!$C$23,ROUND(ROUND(('Loonschijven_Tranches salariale'!$Q66*0.55),4)*$X$1,2),ROUND(ROUND((Basisbedragen!$C$23*0.55),4)*$X$1,2)))</f>
        <v>58.06</v>
      </c>
      <c r="R68" s="316">
        <f t="shared" si="9"/>
        <v>54.28</v>
      </c>
      <c r="S68" s="316">
        <f t="shared" si="9"/>
        <v>50.5</v>
      </c>
      <c r="T68" s="316">
        <f t="shared" si="9"/>
        <v>46.73</v>
      </c>
      <c r="U68" s="316">
        <f t="shared" si="9"/>
        <v>44.69</v>
      </c>
      <c r="V68" s="161"/>
      <c r="W68" s="234">
        <f>N68+ROUND(Basisbedragen!$C$57*$X$1,2)</f>
        <v>39.169999999999995</v>
      </c>
      <c r="X68" s="316">
        <f>O68+ROUND(Basisbedragen!$C$57*$X$1,2)</f>
        <v>44.69</v>
      </c>
      <c r="Y68" s="161"/>
    </row>
    <row r="69" spans="1:25" ht="15" thickBot="1">
      <c r="A69" s="364">
        <f t="shared" si="5"/>
        <v>60</v>
      </c>
      <c r="C69" s="316">
        <f>IF(ROUND(ROUND(('Loonschijven_Tranches salariale'!$Q67*0.65),4)*$X$1,2)&lt;C$8,C$8,ROUND(ROUND(('Loonschijven_Tranches salariale'!$Q67*0.65),4)*$X$1,2))</f>
        <v>69.47</v>
      </c>
      <c r="D69" s="316">
        <f>IF(ROUND(ROUND(('Loonschijven_Tranches salariale'!$Q67*0.6),4)*$X$1,2)&lt;D$8,D$8,ROUND(ROUND(('Loonschijven_Tranches salariale'!$Q67*0.6),4)*$X$1,2))</f>
        <v>64.13</v>
      </c>
      <c r="E69" s="316">
        <f>IF(ROUND(ROUND(('Loonschijven_Tranches salariale'!$Q67*0.6),4)*$X$1,2)&lt;E$8,E$8,IF('Loonschijven_Tranches salariale'!$Q67&lt;Basisbedragen!$C$24,ROUND(ROUND(('Loonschijven_Tranches salariale'!$Q67*0.6),4)*$X$1,2),ROUND(ROUND((Basisbedragen!$C$24*0.6),4)*$X$1,2)))</f>
        <v>64.13</v>
      </c>
      <c r="F69" s="161"/>
      <c r="G69" s="316">
        <f>IF(ROUND(ROUND(('Loonschijven_Tranches salariale'!$Q67*0.6),4)*$X$1,2)&lt;G$8,G$8,IF('Loonschijven_Tranches salariale'!$Q67&lt;Basisbedragen!$C$23,ROUND(ROUND(('Loonschijven_Tranches salariale'!$Q67*0.6),4)*$X$1,2),ROUND(ROUND((Basisbedragen!$C$23*0.6),4)*$X$1,2)))</f>
        <v>64.13</v>
      </c>
      <c r="H69" s="316">
        <f>IF(ROUND(ROUND(('Loonschijven_Tranches salariale'!$Q67*0.4),4)*$X$1,2)&lt;H$8,H$8,IF('Loonschijven_Tranches salariale'!$Q67&lt;Basisbedragen!$C$23,ROUND(ROUND(('Loonschijven_Tranches salariale'!$Q67*0.4),4)*$X$1,2),ROUND(ROUND((Basisbedragen!$C$23*0.4),4)*$X$1,2)))</f>
        <v>42.75</v>
      </c>
      <c r="I69" s="316">
        <f t="shared" si="8"/>
        <v>41.05</v>
      </c>
      <c r="J69" s="316">
        <f t="shared" si="8"/>
        <v>39.75</v>
      </c>
      <c r="K69" s="316">
        <f t="shared" si="8"/>
        <v>39.75</v>
      </c>
      <c r="L69" s="316">
        <f t="shared" si="8"/>
        <v>39.75</v>
      </c>
      <c r="M69" s="161"/>
      <c r="N69" s="234">
        <f t="shared" si="6"/>
        <v>34.229999999999997</v>
      </c>
      <c r="O69" s="316">
        <f t="shared" si="4"/>
        <v>39.75</v>
      </c>
      <c r="P69" s="161"/>
      <c r="Q69" s="316">
        <f>IF(ROUND(ROUND(('Loonschijven_Tranches salariale'!$Q67*0.55),4)*$X$1,2)&lt;Q$8,Q$8,IF('Loonschijven_Tranches salariale'!$Q67&lt;Basisbedragen!$C$23,ROUND(ROUND(('Loonschijven_Tranches salariale'!$Q67*0.55),4)*$X$1,2),ROUND(ROUND((Basisbedragen!$C$23*0.55),4)*$X$1,2)))</f>
        <v>58.79</v>
      </c>
      <c r="R69" s="316">
        <f t="shared" si="9"/>
        <v>54.87</v>
      </c>
      <c r="S69" s="316">
        <f t="shared" si="9"/>
        <v>50.94</v>
      </c>
      <c r="T69" s="316">
        <f t="shared" si="9"/>
        <v>47.02</v>
      </c>
      <c r="U69" s="316">
        <f t="shared" si="9"/>
        <v>44.69</v>
      </c>
      <c r="V69" s="161"/>
      <c r="W69" s="234">
        <f>N69+ROUND(Basisbedragen!$C$57*$X$1,2)</f>
        <v>39.169999999999995</v>
      </c>
      <c r="X69" s="316">
        <f>O69+ROUND(Basisbedragen!$C$57*$X$1,2)</f>
        <v>44.69</v>
      </c>
      <c r="Y69" s="161"/>
    </row>
    <row r="70" spans="1:25" ht="15" thickBot="1">
      <c r="A70" s="364">
        <f t="shared" si="5"/>
        <v>61</v>
      </c>
      <c r="C70" s="316">
        <f>IF(ROUND(ROUND(('Loonschijven_Tranches salariale'!$Q68*0.65),4)*$X$1,2)&lt;C$8,C$8,ROUND(ROUND(('Loonschijven_Tranches salariale'!$Q68*0.65),4)*$X$1,2))</f>
        <v>70.33</v>
      </c>
      <c r="D70" s="316">
        <f>IF(ROUND(ROUND(('Loonschijven_Tranches salariale'!$Q68*0.6),4)*$X$1,2)&lt;D$8,D$8,ROUND(ROUND(('Loonschijven_Tranches salariale'!$Q68*0.6),4)*$X$1,2))</f>
        <v>64.92</v>
      </c>
      <c r="E70" s="316">
        <f>IF(ROUND(ROUND(('Loonschijven_Tranches salariale'!$Q68*0.6),4)*$X$1,2)&lt;E$8,E$8,IF('Loonschijven_Tranches salariale'!$Q68&lt;Basisbedragen!$C$24,ROUND(ROUND(('Loonschijven_Tranches salariale'!$Q68*0.6),4)*$X$1,2),ROUND(ROUND((Basisbedragen!$C$24*0.6),4)*$X$1,2)))</f>
        <v>64.92</v>
      </c>
      <c r="F70" s="161"/>
      <c r="G70" s="316">
        <f>IF(ROUND(ROUND(('Loonschijven_Tranches salariale'!$Q68*0.6),4)*$X$1,2)&lt;G$8,G$8,IF('Loonschijven_Tranches salariale'!$Q68&lt;Basisbedragen!$C$23,ROUND(ROUND(('Loonschijven_Tranches salariale'!$Q68*0.6),4)*$X$1,2),ROUND(ROUND((Basisbedragen!$C$23*0.6),4)*$X$1,2)))</f>
        <v>64.92</v>
      </c>
      <c r="H70" s="316">
        <f>IF(ROUND(ROUND(('Loonschijven_Tranches salariale'!$Q68*0.4),4)*$X$1,2)&lt;H$8,H$8,IF('Loonschijven_Tranches salariale'!$Q68&lt;Basisbedragen!$C$23,ROUND(ROUND(('Loonschijven_Tranches salariale'!$Q68*0.4),4)*$X$1,2),ROUND(ROUND((Basisbedragen!$C$23*0.4),4)*$X$1,2)))</f>
        <v>43.28</v>
      </c>
      <c r="I70" s="316">
        <f t="shared" si="8"/>
        <v>41.47</v>
      </c>
      <c r="J70" s="316">
        <f t="shared" si="8"/>
        <v>39.75</v>
      </c>
      <c r="K70" s="316">
        <f t="shared" si="8"/>
        <v>39.75</v>
      </c>
      <c r="L70" s="316">
        <f t="shared" si="8"/>
        <v>39.75</v>
      </c>
      <c r="M70" s="161"/>
      <c r="N70" s="234">
        <f t="shared" si="6"/>
        <v>34.229999999999997</v>
      </c>
      <c r="O70" s="316">
        <f t="shared" si="4"/>
        <v>39.75</v>
      </c>
      <c r="P70" s="161"/>
      <c r="Q70" s="316">
        <f>IF(ROUND(ROUND(('Loonschijven_Tranches salariale'!$Q68*0.55),4)*$X$1,2)&lt;Q$8,Q$8,IF('Loonschijven_Tranches salariale'!$Q68&lt;Basisbedragen!$C$23,ROUND(ROUND(('Loonschijven_Tranches salariale'!$Q68*0.55),4)*$X$1,2),ROUND(ROUND((Basisbedragen!$C$23*0.55),4)*$X$1,2)))</f>
        <v>59.51</v>
      </c>
      <c r="R70" s="316">
        <f t="shared" ref="R70:U88" si="10">IF(ROUND($Q70-(R$6*($Q70-$W70)/5),2)&lt;$X70,$X70,ROUND($Q70-(R$6*($Q70-$W70)/5),2))</f>
        <v>55.44</v>
      </c>
      <c r="S70" s="316">
        <f t="shared" si="10"/>
        <v>51.37</v>
      </c>
      <c r="T70" s="316">
        <f t="shared" si="10"/>
        <v>47.31</v>
      </c>
      <c r="U70" s="316">
        <f t="shared" si="10"/>
        <v>44.69</v>
      </c>
      <c r="V70" s="161"/>
      <c r="W70" s="234">
        <f>N70+ROUND(Basisbedragen!$C$57*$X$1,2)</f>
        <v>39.169999999999995</v>
      </c>
      <c r="X70" s="316">
        <f>O70+ROUND(Basisbedragen!$C$57*$X$1,2)</f>
        <v>44.69</v>
      </c>
      <c r="Y70" s="161"/>
    </row>
    <row r="71" spans="1:25" ht="15" thickBot="1">
      <c r="A71" s="364">
        <f t="shared" si="5"/>
        <v>62</v>
      </c>
      <c r="C71" s="316">
        <f>IF(ROUND(ROUND(('Loonschijven_Tranches salariale'!$Q69*0.65),4)*$X$1,2)&lt;C$8,C$8,ROUND(ROUND(('Loonschijven_Tranches salariale'!$Q69*0.65),4)*$X$1,2))</f>
        <v>71.3</v>
      </c>
      <c r="D71" s="316">
        <f>IF(ROUND(ROUND(('Loonschijven_Tranches salariale'!$Q69*0.6),4)*$X$1,2)&lt;D$8,D$8,ROUND(ROUND(('Loonschijven_Tranches salariale'!$Q69*0.6),4)*$X$1,2))</f>
        <v>65.819999999999993</v>
      </c>
      <c r="E71" s="316">
        <f>IF(ROUND(ROUND(('Loonschijven_Tranches salariale'!$Q69*0.6),4)*$X$1,2)&lt;E$8,E$8,IF('Loonschijven_Tranches salariale'!$Q69&lt;Basisbedragen!$C$24,ROUND(ROUND(('Loonschijven_Tranches salariale'!$Q69*0.6),4)*$X$1,2),ROUND(ROUND((Basisbedragen!$C$24*0.6),4)*$X$1,2)))</f>
        <v>65.819999999999993</v>
      </c>
      <c r="F71" s="161"/>
      <c r="G71" s="316">
        <f>IF(ROUND(ROUND(('Loonschijven_Tranches salariale'!$Q69*0.6),4)*$X$1,2)&lt;G$8,G$8,IF('Loonschijven_Tranches salariale'!$Q69&lt;Basisbedragen!$C$23,ROUND(ROUND(('Loonschijven_Tranches salariale'!$Q69*0.6),4)*$X$1,2),ROUND(ROUND((Basisbedragen!$C$23*0.6),4)*$X$1,2)))</f>
        <v>65.819999999999993</v>
      </c>
      <c r="H71" s="316">
        <f>IF(ROUND(ROUND(('Loonschijven_Tranches salariale'!$Q69*0.4),4)*$X$1,2)&lt;H$8,H$8,IF('Loonschijven_Tranches salariale'!$Q69&lt;Basisbedragen!$C$23,ROUND(ROUND(('Loonschijven_Tranches salariale'!$Q69*0.4),4)*$X$1,2),ROUND(ROUND((Basisbedragen!$C$23*0.4),4)*$X$1,2)))</f>
        <v>43.88</v>
      </c>
      <c r="I71" s="316">
        <f t="shared" si="8"/>
        <v>41.95</v>
      </c>
      <c r="J71" s="316">
        <f t="shared" si="8"/>
        <v>40.020000000000003</v>
      </c>
      <c r="K71" s="316">
        <f t="shared" si="8"/>
        <v>39.75</v>
      </c>
      <c r="L71" s="316">
        <f t="shared" si="8"/>
        <v>39.75</v>
      </c>
      <c r="M71" s="161"/>
      <c r="N71" s="234">
        <f t="shared" si="6"/>
        <v>34.229999999999997</v>
      </c>
      <c r="O71" s="316">
        <f t="shared" si="4"/>
        <v>39.75</v>
      </c>
      <c r="P71" s="161"/>
      <c r="Q71" s="316">
        <f>IF(ROUND(ROUND(('Loonschijven_Tranches salariale'!$Q69*0.55),4)*$X$1,2)&lt;Q$8,Q$8,IF('Loonschijven_Tranches salariale'!$Q69&lt;Basisbedragen!$C$23,ROUND(ROUND(('Loonschijven_Tranches salariale'!$Q69*0.55),4)*$X$1,2),ROUND(ROUND((Basisbedragen!$C$23*0.55),4)*$X$1,2)))</f>
        <v>60.33</v>
      </c>
      <c r="R71" s="316">
        <f t="shared" si="10"/>
        <v>56.1</v>
      </c>
      <c r="S71" s="316">
        <f t="shared" si="10"/>
        <v>51.87</v>
      </c>
      <c r="T71" s="316">
        <f t="shared" si="10"/>
        <v>47.63</v>
      </c>
      <c r="U71" s="316">
        <f t="shared" si="10"/>
        <v>44.69</v>
      </c>
      <c r="V71" s="161"/>
      <c r="W71" s="234">
        <f>N71+ROUND(Basisbedragen!$C$57*$X$1,2)</f>
        <v>39.169999999999995</v>
      </c>
      <c r="X71" s="316">
        <f>O71+ROUND(Basisbedragen!$C$57*$X$1,2)</f>
        <v>44.69</v>
      </c>
      <c r="Y71" s="161"/>
    </row>
    <row r="72" spans="1:25" ht="15" thickBot="1">
      <c r="A72" s="364">
        <f t="shared" si="5"/>
        <v>63</v>
      </c>
      <c r="C72" s="316">
        <f>IF(ROUND(ROUND(('Loonschijven_Tranches salariale'!$Q70*0.65),4)*$X$1,2)&lt;C$8,C$8,ROUND(ROUND(('Loonschijven_Tranches salariale'!$Q70*0.65),4)*$X$1,2))</f>
        <v>72.28</v>
      </c>
      <c r="D72" s="316">
        <f>IF(ROUND(ROUND(('Loonschijven_Tranches salariale'!$Q70*0.6),4)*$X$1,2)&lt;D$8,D$8,ROUND(ROUND(('Loonschijven_Tranches salariale'!$Q70*0.6),4)*$X$1,2))</f>
        <v>66.72</v>
      </c>
      <c r="E72" s="316">
        <f>IF(ROUND(ROUND(('Loonschijven_Tranches salariale'!$Q70*0.6),4)*$X$1,2)&lt;E$8,E$8,IF('Loonschijven_Tranches salariale'!$Q70&lt;Basisbedragen!$C$24,ROUND(ROUND(('Loonschijven_Tranches salariale'!$Q70*0.6),4)*$X$1,2),ROUND(ROUND((Basisbedragen!$C$24*0.6),4)*$X$1,2)))</f>
        <v>66.72</v>
      </c>
      <c r="F72" s="161"/>
      <c r="G72" s="316">
        <f>IF(ROUND(ROUND(('Loonschijven_Tranches salariale'!$Q70*0.6),4)*$X$1,2)&lt;G$8,G$8,IF('Loonschijven_Tranches salariale'!$Q70&lt;Basisbedragen!$C$23,ROUND(ROUND(('Loonschijven_Tranches salariale'!$Q70*0.6),4)*$X$1,2),ROUND(ROUND((Basisbedragen!$C$23*0.6),4)*$X$1,2)))</f>
        <v>66.72</v>
      </c>
      <c r="H72" s="316">
        <f>IF(ROUND(ROUND(('Loonschijven_Tranches salariale'!$Q70*0.4),4)*$X$1,2)&lt;H$8,H$8,IF('Loonschijven_Tranches salariale'!$Q70&lt;Basisbedragen!$C$23,ROUND(ROUND(('Loonschijven_Tranches salariale'!$Q70*0.4),4)*$X$1,2),ROUND(ROUND((Basisbedragen!$C$23*0.4),4)*$X$1,2)))</f>
        <v>44.48</v>
      </c>
      <c r="I72" s="316">
        <f t="shared" si="8"/>
        <v>42.43</v>
      </c>
      <c r="J72" s="316">
        <f t="shared" si="8"/>
        <v>40.380000000000003</v>
      </c>
      <c r="K72" s="316">
        <f t="shared" si="8"/>
        <v>39.75</v>
      </c>
      <c r="L72" s="316">
        <f t="shared" si="8"/>
        <v>39.75</v>
      </c>
      <c r="M72" s="161"/>
      <c r="N72" s="234">
        <f t="shared" si="6"/>
        <v>34.229999999999997</v>
      </c>
      <c r="O72" s="316">
        <f t="shared" si="4"/>
        <v>39.75</v>
      </c>
      <c r="P72" s="161"/>
      <c r="Q72" s="316">
        <f>IF(ROUND(ROUND(('Loonschijven_Tranches salariale'!$Q70*0.55),4)*$X$1,2)&lt;Q$8,Q$8,IF('Loonschijven_Tranches salariale'!$Q70&lt;Basisbedragen!$C$23,ROUND(ROUND(('Loonschijven_Tranches salariale'!$Q70*0.55),4)*$X$1,2),ROUND(ROUND((Basisbedragen!$C$23*0.55),4)*$X$1,2)))</f>
        <v>61.16</v>
      </c>
      <c r="R72" s="316">
        <f t="shared" si="10"/>
        <v>56.76</v>
      </c>
      <c r="S72" s="316">
        <f t="shared" si="10"/>
        <v>52.36</v>
      </c>
      <c r="T72" s="316">
        <f t="shared" si="10"/>
        <v>47.97</v>
      </c>
      <c r="U72" s="316">
        <f t="shared" si="10"/>
        <v>44.69</v>
      </c>
      <c r="V72" s="161"/>
      <c r="W72" s="234">
        <f>N72+ROUND(Basisbedragen!$C$57*$X$1,2)</f>
        <v>39.169999999999995</v>
      </c>
      <c r="X72" s="316">
        <f>O72+ROUND(Basisbedragen!$C$57*$X$1,2)</f>
        <v>44.69</v>
      </c>
      <c r="Y72" s="161"/>
    </row>
    <row r="73" spans="1:25" ht="15" thickBot="1">
      <c r="A73" s="364">
        <f t="shared" si="5"/>
        <v>64</v>
      </c>
      <c r="C73" s="316">
        <f>IF(ROUND(ROUND(('Loonschijven_Tranches salariale'!$Q71*0.65),4)*$X$1,2)&lt;C$8,C$8,ROUND(ROUND(('Loonschijven_Tranches salariale'!$Q71*0.65),4)*$X$1,2))</f>
        <v>73.430000000000007</v>
      </c>
      <c r="D73" s="316">
        <f>IF(ROUND(ROUND(('Loonschijven_Tranches salariale'!$Q71*0.6),4)*$X$1,2)&lt;D$8,D$8,ROUND(ROUND(('Loonschijven_Tranches salariale'!$Q71*0.6),4)*$X$1,2))</f>
        <v>67.78</v>
      </c>
      <c r="E73" s="316">
        <f>IF(ROUND(ROUND(('Loonschijven_Tranches salariale'!$Q71*0.6),4)*$X$1,2)&lt;E$8,E$8,IF('Loonschijven_Tranches salariale'!$Q71&lt;Basisbedragen!$C$24,ROUND(ROUND(('Loonschijven_Tranches salariale'!$Q71*0.6),4)*$X$1,2),ROUND(ROUND((Basisbedragen!$C$24*0.6),4)*$X$1,2)))</f>
        <v>67.78</v>
      </c>
      <c r="F73" s="161"/>
      <c r="G73" s="316">
        <f>IF(ROUND(ROUND(('Loonschijven_Tranches salariale'!$Q71*0.6),4)*$X$1,2)&lt;G$8,G$8,IF('Loonschijven_Tranches salariale'!$Q71&lt;Basisbedragen!$C$23,ROUND(ROUND(('Loonschijven_Tranches salariale'!$Q71*0.6),4)*$X$1,2),ROUND(ROUND((Basisbedragen!$C$23*0.6),4)*$X$1,2)))</f>
        <v>67.78</v>
      </c>
      <c r="H73" s="316">
        <f>IF(ROUND(ROUND(('Loonschijven_Tranches salariale'!$Q71*0.4),4)*$X$1,2)&lt;H$8,H$8,IF('Loonschijven_Tranches salariale'!$Q71&lt;Basisbedragen!$C$23,ROUND(ROUND(('Loonschijven_Tranches salariale'!$Q71*0.4),4)*$X$1,2),ROUND(ROUND((Basisbedragen!$C$23*0.4),4)*$X$1,2)))</f>
        <v>45.19</v>
      </c>
      <c r="I73" s="316">
        <f t="shared" si="8"/>
        <v>43</v>
      </c>
      <c r="J73" s="316">
        <f t="shared" si="8"/>
        <v>40.81</v>
      </c>
      <c r="K73" s="316">
        <f t="shared" si="8"/>
        <v>39.75</v>
      </c>
      <c r="L73" s="316">
        <f t="shared" si="8"/>
        <v>39.75</v>
      </c>
      <c r="M73" s="161"/>
      <c r="N73" s="234">
        <f t="shared" si="6"/>
        <v>34.229999999999997</v>
      </c>
      <c r="O73" s="316">
        <f t="shared" si="4"/>
        <v>39.75</v>
      </c>
      <c r="P73" s="161"/>
      <c r="Q73" s="316">
        <f>IF(ROUND(ROUND(('Loonschijven_Tranches salariale'!$Q71*0.55),4)*$X$1,2)&lt;Q$8,Q$8,IF('Loonschijven_Tranches salariale'!$Q71&lt;Basisbedragen!$C$23,ROUND(ROUND(('Loonschijven_Tranches salariale'!$Q71*0.55),4)*$X$1,2),ROUND(ROUND((Basisbedragen!$C$23*0.55),4)*$X$1,2)))</f>
        <v>62.13</v>
      </c>
      <c r="R73" s="316">
        <f t="shared" si="10"/>
        <v>57.54</v>
      </c>
      <c r="S73" s="316">
        <f t="shared" si="10"/>
        <v>52.95</v>
      </c>
      <c r="T73" s="316">
        <f t="shared" si="10"/>
        <v>48.35</v>
      </c>
      <c r="U73" s="316">
        <f t="shared" si="10"/>
        <v>44.69</v>
      </c>
      <c r="V73" s="161"/>
      <c r="W73" s="234">
        <f>N73+ROUND(Basisbedragen!$C$57*$X$1,2)</f>
        <v>39.169999999999995</v>
      </c>
      <c r="X73" s="316">
        <f>O73+ROUND(Basisbedragen!$C$57*$X$1,2)</f>
        <v>44.69</v>
      </c>
      <c r="Y73" s="161"/>
    </row>
    <row r="74" spans="1:25" ht="15" thickBot="1">
      <c r="A74" s="364">
        <f t="shared" si="5"/>
        <v>65</v>
      </c>
      <c r="C74" s="316">
        <f>IF(ROUND(ROUND(('Loonschijven_Tranches salariale'!$Q72*0.65),4)*$X$1,2)&lt;C$8,C$8,ROUND(ROUND(('Loonschijven_Tranches salariale'!$Q72*0.65),4)*$X$1,2))</f>
        <v>74.34</v>
      </c>
      <c r="D74" s="316">
        <f>IF(ROUND(ROUND(('Loonschijven_Tranches salariale'!$Q72*0.6),4)*$X$1,2)&lt;D$8,D$8,ROUND(ROUND(('Loonschijven_Tranches salariale'!$Q72*0.6),4)*$X$1,2))</f>
        <v>68.63</v>
      </c>
      <c r="E74" s="316">
        <f>IF(ROUND(ROUND(('Loonschijven_Tranches salariale'!$Q72*0.6),4)*$X$1,2)&lt;E$8,E$8,IF('Loonschijven_Tranches salariale'!$Q72&lt;Basisbedragen!$C$24,ROUND(ROUND(('Loonschijven_Tranches salariale'!$Q72*0.6),4)*$X$1,2),ROUND(ROUND((Basisbedragen!$C$24*0.6),4)*$X$1,2)))</f>
        <v>68.63</v>
      </c>
      <c r="F74" s="161"/>
      <c r="G74" s="316">
        <f>IF(ROUND(ROUND(('Loonschijven_Tranches salariale'!$Q72*0.6),4)*$X$1,2)&lt;G$8,G$8,IF('Loonschijven_Tranches salariale'!$Q72&lt;Basisbedragen!$C$23,ROUND(ROUND(('Loonschijven_Tranches salariale'!$Q72*0.6),4)*$X$1,2),ROUND(ROUND((Basisbedragen!$C$23*0.6),4)*$X$1,2)))</f>
        <v>68.63</v>
      </c>
      <c r="H74" s="316">
        <f>IF(ROUND(ROUND(('Loonschijven_Tranches salariale'!$Q72*0.4),4)*$X$1,2)&lt;H$8,H$8,IF('Loonschijven_Tranches salariale'!$Q72&lt;Basisbedragen!$C$23,ROUND(ROUND(('Loonschijven_Tranches salariale'!$Q72*0.4),4)*$X$1,2),ROUND(ROUND((Basisbedragen!$C$23*0.4),4)*$X$1,2)))</f>
        <v>45.75</v>
      </c>
      <c r="I74" s="316">
        <f t="shared" si="8"/>
        <v>43.45</v>
      </c>
      <c r="J74" s="316">
        <f t="shared" si="8"/>
        <v>41.14</v>
      </c>
      <c r="K74" s="316">
        <f t="shared" si="8"/>
        <v>39.75</v>
      </c>
      <c r="L74" s="316">
        <f t="shared" si="8"/>
        <v>39.75</v>
      </c>
      <c r="M74" s="161"/>
      <c r="N74" s="234">
        <f t="shared" si="6"/>
        <v>34.229999999999997</v>
      </c>
      <c r="O74" s="316">
        <f t="shared" si="4"/>
        <v>39.75</v>
      </c>
      <c r="P74" s="161"/>
      <c r="Q74" s="316">
        <f>IF(ROUND(ROUND(('Loonschijven_Tranches salariale'!$Q72*0.55),4)*$X$1,2)&lt;Q$8,Q$8,IF('Loonschijven_Tranches salariale'!$Q72&lt;Basisbedragen!$C$23,ROUND(ROUND(('Loonschijven_Tranches salariale'!$Q72*0.55),4)*$X$1,2),ROUND(ROUND((Basisbedragen!$C$23*0.55),4)*$X$1,2)))</f>
        <v>62.91</v>
      </c>
      <c r="R74" s="316">
        <f t="shared" si="10"/>
        <v>58.16</v>
      </c>
      <c r="S74" s="316">
        <f t="shared" si="10"/>
        <v>53.41</v>
      </c>
      <c r="T74" s="316">
        <f t="shared" si="10"/>
        <v>48.67</v>
      </c>
      <c r="U74" s="316">
        <f t="shared" si="10"/>
        <v>44.69</v>
      </c>
      <c r="V74" s="161"/>
      <c r="W74" s="234">
        <f>N74+ROUND(Basisbedragen!$C$57*$X$1,2)</f>
        <v>39.169999999999995</v>
      </c>
      <c r="X74" s="316">
        <f>O74+ROUND(Basisbedragen!$C$57*$X$1,2)</f>
        <v>44.69</v>
      </c>
      <c r="Y74" s="161"/>
    </row>
    <row r="75" spans="1:25" ht="15" thickBot="1">
      <c r="A75" s="364">
        <f t="shared" si="5"/>
        <v>66</v>
      </c>
      <c r="C75" s="316">
        <f>IF(ROUND(ROUND(('Loonschijven_Tranches salariale'!$Q73*0.65),4)*$X$1,2)&lt;C$8,C$8,ROUND(ROUND(('Loonschijven_Tranches salariale'!$Q73*0.65),4)*$X$1,2))</f>
        <v>75.209999999999994</v>
      </c>
      <c r="D75" s="316">
        <f>IF(ROUND(ROUND(('Loonschijven_Tranches salariale'!$Q73*0.6),4)*$X$1,2)&lt;D$8,D$8,ROUND(ROUND(('Loonschijven_Tranches salariale'!$Q73*0.6),4)*$X$1,2))</f>
        <v>69.430000000000007</v>
      </c>
      <c r="E75" s="316">
        <f>IF(ROUND(ROUND(('Loonschijven_Tranches salariale'!$Q73*0.6),4)*$X$1,2)&lt;E$8,E$8,IF('Loonschijven_Tranches salariale'!$Q73&lt;Basisbedragen!$C$24,ROUND(ROUND(('Loonschijven_Tranches salariale'!$Q73*0.6),4)*$X$1,2),ROUND(ROUND((Basisbedragen!$C$24*0.6),4)*$X$1,2)))</f>
        <v>69.430000000000007</v>
      </c>
      <c r="F75" s="161"/>
      <c r="G75" s="316">
        <f>IF(ROUND(ROUND(('Loonschijven_Tranches salariale'!$Q73*0.6),4)*$X$1,2)&lt;G$8,G$8,IF('Loonschijven_Tranches salariale'!$Q73&lt;Basisbedragen!$C$23,ROUND(ROUND(('Loonschijven_Tranches salariale'!$Q73*0.6),4)*$X$1,2),ROUND(ROUND((Basisbedragen!$C$23*0.6),4)*$X$1,2)))</f>
        <v>68.989999999999995</v>
      </c>
      <c r="H75" s="316">
        <f>IF(ROUND(ROUND(('Loonschijven_Tranches salariale'!$Q73*0.4),4)*$X$1,2)&lt;H$8,H$8,IF('Loonschijven_Tranches salariale'!$Q73&lt;Basisbedragen!$C$23,ROUND(ROUND(('Loonschijven_Tranches salariale'!$Q73*0.4),4)*$X$1,2),ROUND(ROUND((Basisbedragen!$C$23*0.4),4)*$X$1,2)))</f>
        <v>45.99</v>
      </c>
      <c r="I75" s="316">
        <f t="shared" si="8"/>
        <v>43.64</v>
      </c>
      <c r="J75" s="316">
        <f t="shared" si="8"/>
        <v>41.29</v>
      </c>
      <c r="K75" s="316">
        <f t="shared" si="8"/>
        <v>39.75</v>
      </c>
      <c r="L75" s="316">
        <f t="shared" si="8"/>
        <v>39.75</v>
      </c>
      <c r="M75" s="161"/>
      <c r="N75" s="234">
        <f t="shared" si="6"/>
        <v>34.229999999999997</v>
      </c>
      <c r="O75" s="316">
        <f t="shared" ref="O75:O88" si="11">$I$9</f>
        <v>39.75</v>
      </c>
      <c r="P75" s="161"/>
      <c r="Q75" s="316">
        <f>IF(ROUND(ROUND(('Loonschijven_Tranches salariale'!$Q73*0.55),4)*$X$1,2)&lt;Q$8,Q$8,IF('Loonschijven_Tranches salariale'!$Q73&lt;Basisbedragen!$C$23,ROUND(ROUND(('Loonschijven_Tranches salariale'!$Q73*0.55),4)*$X$1,2),ROUND(ROUND((Basisbedragen!$C$23*0.55),4)*$X$1,2)))</f>
        <v>63.24</v>
      </c>
      <c r="R75" s="316">
        <f t="shared" si="10"/>
        <v>58.43</v>
      </c>
      <c r="S75" s="316">
        <f t="shared" si="10"/>
        <v>53.61</v>
      </c>
      <c r="T75" s="316">
        <f t="shared" si="10"/>
        <v>48.8</v>
      </c>
      <c r="U75" s="316">
        <f t="shared" si="10"/>
        <v>44.69</v>
      </c>
      <c r="V75" s="161"/>
      <c r="W75" s="234">
        <f>N75+ROUND(Basisbedragen!$C$57*$X$1,2)</f>
        <v>39.169999999999995</v>
      </c>
      <c r="X75" s="316">
        <f>O75+ROUND(Basisbedragen!$C$57*$X$1,2)</f>
        <v>44.69</v>
      </c>
      <c r="Y75" s="161"/>
    </row>
    <row r="76" spans="1:25" ht="15" thickBot="1">
      <c r="A76" s="364">
        <f t="shared" ref="A76:A83" si="12">A75+1</f>
        <v>67</v>
      </c>
      <c r="C76" s="316">
        <f>IF(ROUND(ROUND(('Loonschijven_Tranches salariale'!$Q74*0.65),4)*$X$1,2)&lt;C$8,C$8,ROUND(ROUND(('Loonschijven_Tranches salariale'!$Q74*0.65),4)*$X$1,2))</f>
        <v>76.19</v>
      </c>
      <c r="D76" s="316">
        <f>IF(ROUND(ROUND(('Loonschijven_Tranches salariale'!$Q74*0.6),4)*$X$1,2)&lt;D$8,D$8,ROUND(ROUND(('Loonschijven_Tranches salariale'!$Q74*0.6),4)*$X$1,2))</f>
        <v>70.33</v>
      </c>
      <c r="E76" s="316">
        <f>IF(ROUND(ROUND(('Loonschijven_Tranches salariale'!$Q74*0.6),4)*$X$1,2)&lt;E$8,E$8,IF('Loonschijven_Tranches salariale'!$Q74&lt;Basisbedragen!$C$24,ROUND(ROUND(('Loonschijven_Tranches salariale'!$Q74*0.6),4)*$X$1,2),ROUND(ROUND((Basisbedragen!$C$24*0.6),4)*$X$1,2)))</f>
        <v>70.33</v>
      </c>
      <c r="F76" s="161"/>
      <c r="G76" s="316">
        <f>IF(ROUND(ROUND(('Loonschijven_Tranches salariale'!$Q74*0.6),4)*$X$1,2)&lt;G$8,G$8,IF('Loonschijven_Tranches salariale'!$Q74&lt;Basisbedragen!$C$23,ROUND(ROUND(('Loonschijven_Tranches salariale'!$Q74*0.6),4)*$X$1,2),ROUND(ROUND((Basisbedragen!$C$23*0.6),4)*$X$1,2)))</f>
        <v>68.989999999999995</v>
      </c>
      <c r="H76" s="316">
        <f>IF(ROUND(ROUND(('Loonschijven_Tranches salariale'!$Q74*0.4),4)*$X$1,2)&lt;H$8,H$8,IF('Loonschijven_Tranches salariale'!$Q74&lt;Basisbedragen!$C$23,ROUND(ROUND(('Loonschijven_Tranches salariale'!$Q74*0.4),4)*$X$1,2),ROUND(ROUND((Basisbedragen!$C$23*0.4),4)*$X$1,2)))</f>
        <v>45.99</v>
      </c>
      <c r="I76" s="316">
        <f t="shared" si="8"/>
        <v>43.64</v>
      </c>
      <c r="J76" s="316">
        <f t="shared" si="8"/>
        <v>41.29</v>
      </c>
      <c r="K76" s="316">
        <f t="shared" si="8"/>
        <v>39.75</v>
      </c>
      <c r="L76" s="316">
        <f t="shared" si="8"/>
        <v>39.75</v>
      </c>
      <c r="M76" s="161"/>
      <c r="N76" s="234">
        <f t="shared" ref="N76:N88" si="13">$N$10</f>
        <v>34.229999999999997</v>
      </c>
      <c r="O76" s="316">
        <f t="shared" si="11"/>
        <v>39.75</v>
      </c>
      <c r="P76" s="161"/>
      <c r="Q76" s="316">
        <f>IF(ROUND(ROUND(('Loonschijven_Tranches salariale'!$Q74*0.55),4)*$X$1,2)&lt;Q$8,Q$8,IF('Loonschijven_Tranches salariale'!$Q74&lt;Basisbedragen!$C$23,ROUND(ROUND(('Loonschijven_Tranches salariale'!$Q74*0.55),4)*$X$1,2),ROUND(ROUND((Basisbedragen!$C$23*0.55),4)*$X$1,2)))</f>
        <v>63.24</v>
      </c>
      <c r="R76" s="316">
        <f t="shared" si="10"/>
        <v>58.43</v>
      </c>
      <c r="S76" s="316">
        <f t="shared" si="10"/>
        <v>53.61</v>
      </c>
      <c r="T76" s="316">
        <f t="shared" si="10"/>
        <v>48.8</v>
      </c>
      <c r="U76" s="316">
        <f t="shared" si="10"/>
        <v>44.69</v>
      </c>
      <c r="V76" s="161"/>
      <c r="W76" s="234">
        <f>N76+ROUND(Basisbedragen!$C$57*$X$1,2)</f>
        <v>39.169999999999995</v>
      </c>
      <c r="X76" s="316">
        <f>O76+ROUND(Basisbedragen!$C$57*$X$1,2)</f>
        <v>44.69</v>
      </c>
      <c r="Y76" s="161"/>
    </row>
    <row r="77" spans="1:25" ht="15" thickBot="1">
      <c r="A77" s="364">
        <f t="shared" si="12"/>
        <v>68</v>
      </c>
      <c r="C77" s="316">
        <f>IF(ROUND(ROUND(('Loonschijven_Tranches salariale'!$Q75*0.65),4)*$X$1,2)&lt;C$8,C$8,ROUND(ROUND(('Loonschijven_Tranches salariale'!$Q75*0.65),4)*$X$1,2))</f>
        <v>77.16</v>
      </c>
      <c r="D77" s="316">
        <f>IF(ROUND(ROUND(('Loonschijven_Tranches salariale'!$Q75*0.6),4)*$X$1,2)&lt;D$8,D$8,ROUND(ROUND(('Loonschijven_Tranches salariale'!$Q75*0.6),4)*$X$1,2))</f>
        <v>71.23</v>
      </c>
      <c r="E77" s="316">
        <f>IF(ROUND(ROUND(('Loonschijven_Tranches salariale'!$Q75*0.6),4)*$X$1,2)&lt;E$8,E$8,IF('Loonschijven_Tranches salariale'!$Q75&lt;Basisbedragen!$C$24,ROUND(ROUND(('Loonschijven_Tranches salariale'!$Q75*0.6),4)*$X$1,2),ROUND(ROUND((Basisbedragen!$C$24*0.6),4)*$X$1,2)))</f>
        <v>71.23</v>
      </c>
      <c r="F77" s="161"/>
      <c r="G77" s="316">
        <f>IF(ROUND(ROUND(('Loonschijven_Tranches salariale'!$Q75*0.6),4)*$X$1,2)&lt;G$8,G$8,IF('Loonschijven_Tranches salariale'!$Q75&lt;Basisbedragen!$C$23,ROUND(ROUND(('Loonschijven_Tranches salariale'!$Q75*0.6),4)*$X$1,2),ROUND(ROUND((Basisbedragen!$C$23*0.6),4)*$X$1,2)))</f>
        <v>68.989999999999995</v>
      </c>
      <c r="H77" s="316">
        <f>IF(ROUND(ROUND(('Loonschijven_Tranches salariale'!$Q75*0.4),4)*$X$1,2)&lt;H$8,H$8,IF('Loonschijven_Tranches salariale'!$Q75&lt;Basisbedragen!$C$23,ROUND(ROUND(('Loonschijven_Tranches salariale'!$Q75*0.4),4)*$X$1,2),ROUND(ROUND((Basisbedragen!$C$23*0.4),4)*$X$1,2)))</f>
        <v>45.99</v>
      </c>
      <c r="I77" s="316">
        <f t="shared" si="8"/>
        <v>43.64</v>
      </c>
      <c r="J77" s="316">
        <f t="shared" si="8"/>
        <v>41.29</v>
      </c>
      <c r="K77" s="316">
        <f t="shared" si="8"/>
        <v>39.75</v>
      </c>
      <c r="L77" s="316">
        <f t="shared" si="8"/>
        <v>39.75</v>
      </c>
      <c r="M77" s="161"/>
      <c r="N77" s="234">
        <f t="shared" si="13"/>
        <v>34.229999999999997</v>
      </c>
      <c r="O77" s="316">
        <f t="shared" si="11"/>
        <v>39.75</v>
      </c>
      <c r="P77" s="161"/>
      <c r="Q77" s="316">
        <f>IF(ROUND(ROUND(('Loonschijven_Tranches salariale'!$Q75*0.55),4)*$X$1,2)&lt;Q$8,Q$8,IF('Loonschijven_Tranches salariale'!$Q75&lt;Basisbedragen!$C$23,ROUND(ROUND(('Loonschijven_Tranches salariale'!$Q75*0.55),4)*$X$1,2),ROUND(ROUND((Basisbedragen!$C$23*0.55),4)*$X$1,2)))</f>
        <v>63.24</v>
      </c>
      <c r="R77" s="316">
        <f t="shared" si="10"/>
        <v>58.43</v>
      </c>
      <c r="S77" s="316">
        <f t="shared" si="10"/>
        <v>53.61</v>
      </c>
      <c r="T77" s="316">
        <f t="shared" si="10"/>
        <v>48.8</v>
      </c>
      <c r="U77" s="316">
        <f t="shared" si="10"/>
        <v>44.69</v>
      </c>
      <c r="V77" s="161"/>
      <c r="W77" s="234">
        <f>N77+ROUND(Basisbedragen!$C$57*$X$1,2)</f>
        <v>39.169999999999995</v>
      </c>
      <c r="X77" s="316">
        <f>O77+ROUND(Basisbedragen!$C$57*$X$1,2)</f>
        <v>44.69</v>
      </c>
      <c r="Y77" s="161"/>
    </row>
    <row r="78" spans="1:25" ht="15" thickBot="1">
      <c r="A78" s="364">
        <f t="shared" si="12"/>
        <v>69</v>
      </c>
      <c r="C78" s="316">
        <f>IF(ROUND(ROUND(('Loonschijven_Tranches salariale'!$Q76*0.65),4)*$X$1,2)&lt;C$8,C$8,ROUND(ROUND(('Loonschijven_Tranches salariale'!$Q76*0.65),4)*$X$1,2))</f>
        <v>78.14</v>
      </c>
      <c r="D78" s="316">
        <f>IF(ROUND(ROUND(('Loonschijven_Tranches salariale'!$Q76*0.6),4)*$X$1,2)&lt;D$8,D$8,ROUND(ROUND(('Loonschijven_Tranches salariale'!$Q76*0.6),4)*$X$1,2))</f>
        <v>72.13</v>
      </c>
      <c r="E78" s="316">
        <f>IF(ROUND(ROUND(('Loonschijven_Tranches salariale'!$Q76*0.6),4)*$X$1,2)&lt;E$8,E$8,IF('Loonschijven_Tranches salariale'!$Q76&lt;Basisbedragen!$C$24,ROUND(ROUND(('Loonschijven_Tranches salariale'!$Q76*0.6),4)*$X$1,2),ROUND(ROUND((Basisbedragen!$C$24*0.6),4)*$X$1,2)))</f>
        <v>72.13</v>
      </c>
      <c r="F78" s="161"/>
      <c r="G78" s="316">
        <f>IF(ROUND(ROUND(('Loonschijven_Tranches salariale'!$Q76*0.6),4)*$X$1,2)&lt;G$8,G$8,IF('Loonschijven_Tranches salariale'!$Q76&lt;Basisbedragen!$C$23,ROUND(ROUND(('Loonschijven_Tranches salariale'!$Q76*0.6),4)*$X$1,2),ROUND(ROUND((Basisbedragen!$C$23*0.6),4)*$X$1,2)))</f>
        <v>68.989999999999995</v>
      </c>
      <c r="H78" s="316">
        <f>IF(ROUND(ROUND(('Loonschijven_Tranches salariale'!$Q76*0.4),4)*$X$1,2)&lt;H$8,H$8,IF('Loonschijven_Tranches salariale'!$Q76&lt;Basisbedragen!$C$23,ROUND(ROUND(('Loonschijven_Tranches salariale'!$Q76*0.4),4)*$X$1,2),ROUND(ROUND((Basisbedragen!$C$23*0.4),4)*$X$1,2)))</f>
        <v>45.99</v>
      </c>
      <c r="I78" s="316">
        <f t="shared" si="8"/>
        <v>43.64</v>
      </c>
      <c r="J78" s="316">
        <f t="shared" si="8"/>
        <v>41.29</v>
      </c>
      <c r="K78" s="316">
        <f t="shared" si="8"/>
        <v>39.75</v>
      </c>
      <c r="L78" s="316">
        <f t="shared" si="8"/>
        <v>39.75</v>
      </c>
      <c r="M78" s="161"/>
      <c r="N78" s="234">
        <f t="shared" si="13"/>
        <v>34.229999999999997</v>
      </c>
      <c r="O78" s="316">
        <f t="shared" si="11"/>
        <v>39.75</v>
      </c>
      <c r="P78" s="161"/>
      <c r="Q78" s="316">
        <f>IF(ROUND(ROUND(('Loonschijven_Tranches salariale'!$Q76*0.55),4)*$X$1,2)&lt;Q$8,Q$8,IF('Loonschijven_Tranches salariale'!$Q76&lt;Basisbedragen!$C$23,ROUND(ROUND(('Loonschijven_Tranches salariale'!$Q76*0.55),4)*$X$1,2),ROUND(ROUND((Basisbedragen!$C$23*0.55),4)*$X$1,2)))</f>
        <v>63.24</v>
      </c>
      <c r="R78" s="316">
        <f t="shared" si="10"/>
        <v>58.43</v>
      </c>
      <c r="S78" s="316">
        <f t="shared" si="10"/>
        <v>53.61</v>
      </c>
      <c r="T78" s="316">
        <f t="shared" si="10"/>
        <v>48.8</v>
      </c>
      <c r="U78" s="316">
        <f t="shared" si="10"/>
        <v>44.69</v>
      </c>
      <c r="V78" s="161"/>
      <c r="W78" s="234">
        <f>N78+ROUND(Basisbedragen!$C$57*$X$1,2)</f>
        <v>39.169999999999995</v>
      </c>
      <c r="X78" s="316">
        <f>O78+ROUND(Basisbedragen!$C$57*$X$1,2)</f>
        <v>44.69</v>
      </c>
      <c r="Y78" s="161"/>
    </row>
    <row r="79" spans="1:25" ht="15" thickBot="1">
      <c r="A79" s="364">
        <f t="shared" si="12"/>
        <v>70</v>
      </c>
      <c r="C79" s="316">
        <f>IF(ROUND(ROUND(('Loonschijven_Tranches salariale'!$Q77*0.65),4)*$X$1,2)&lt;C$8,C$8,ROUND(ROUND(('Loonschijven_Tranches salariale'!$Q77*0.65),4)*$X$1,2))</f>
        <v>78.78</v>
      </c>
      <c r="D79" s="316">
        <f>IF(ROUND(ROUND(('Loonschijven_Tranches salariale'!$Q77*0.6),4)*$X$1,2)&lt;D$8,D$8,ROUND(ROUND(('Loonschijven_Tranches salariale'!$Q77*0.6),4)*$X$1,2))</f>
        <v>72.72</v>
      </c>
      <c r="E79" s="316">
        <f>IF(ROUND(ROUND(('Loonschijven_Tranches salariale'!$Q77*0.6),4)*$X$1,2)&lt;E$8,E$8,IF('Loonschijven_Tranches salariale'!$Q77&lt;Basisbedragen!$C$24,ROUND(ROUND(('Loonschijven_Tranches salariale'!$Q77*0.6),4)*$X$1,2),ROUND(ROUND((Basisbedragen!$C$24*0.6),4)*$X$1,2)))</f>
        <v>72.72</v>
      </c>
      <c r="F79" s="161"/>
      <c r="G79" s="316">
        <f>IF(ROUND(ROUND(('Loonschijven_Tranches salariale'!$Q77*0.6),4)*$X$1,2)&lt;G$8,G$8,IF('Loonschijven_Tranches salariale'!$Q77&lt;Basisbedragen!$C$23,ROUND(ROUND(('Loonschijven_Tranches salariale'!$Q77*0.6),4)*$X$1,2),ROUND(ROUND((Basisbedragen!$C$23*0.6),4)*$X$1,2)))</f>
        <v>68.989999999999995</v>
      </c>
      <c r="H79" s="316">
        <f>IF(ROUND(ROUND(('Loonschijven_Tranches salariale'!$Q77*0.4),4)*$X$1,2)&lt;H$8,H$8,IF('Loonschijven_Tranches salariale'!$Q77&lt;Basisbedragen!$C$23,ROUND(ROUND(('Loonschijven_Tranches salariale'!$Q77*0.4),4)*$X$1,2),ROUND(ROUND((Basisbedragen!$C$23*0.4),4)*$X$1,2)))</f>
        <v>45.99</v>
      </c>
      <c r="I79" s="316">
        <f t="shared" si="8"/>
        <v>43.64</v>
      </c>
      <c r="J79" s="316">
        <f t="shared" si="8"/>
        <v>41.29</v>
      </c>
      <c r="K79" s="316">
        <f t="shared" si="8"/>
        <v>39.75</v>
      </c>
      <c r="L79" s="316">
        <f t="shared" si="8"/>
        <v>39.75</v>
      </c>
      <c r="M79" s="161"/>
      <c r="N79" s="234">
        <f t="shared" si="13"/>
        <v>34.229999999999997</v>
      </c>
      <c r="O79" s="316">
        <f t="shared" si="11"/>
        <v>39.75</v>
      </c>
      <c r="P79" s="161"/>
      <c r="Q79" s="316">
        <f>IF(ROUND(ROUND(('Loonschijven_Tranches salariale'!$Q77*0.55),4)*$X$1,2)&lt;Q$8,Q$8,IF('Loonschijven_Tranches salariale'!$Q77&lt;Basisbedragen!$C$23,ROUND(ROUND(('Loonschijven_Tranches salariale'!$Q77*0.55),4)*$X$1,2),ROUND(ROUND((Basisbedragen!$C$23*0.55),4)*$X$1,2)))</f>
        <v>63.24</v>
      </c>
      <c r="R79" s="316">
        <f t="shared" si="10"/>
        <v>58.43</v>
      </c>
      <c r="S79" s="316">
        <f t="shared" si="10"/>
        <v>53.61</v>
      </c>
      <c r="T79" s="316">
        <f t="shared" si="10"/>
        <v>48.8</v>
      </c>
      <c r="U79" s="316">
        <f t="shared" si="10"/>
        <v>44.69</v>
      </c>
      <c r="V79" s="161"/>
      <c r="W79" s="234">
        <f>N79+ROUND(Basisbedragen!$C$57*$X$1,2)</f>
        <v>39.169999999999995</v>
      </c>
      <c r="X79" s="316">
        <f>O79+ROUND(Basisbedragen!$C$57*$X$1,2)</f>
        <v>44.69</v>
      </c>
      <c r="Y79" s="161"/>
    </row>
    <row r="80" spans="1:25" ht="15" thickBot="1">
      <c r="A80" s="364">
        <f t="shared" si="12"/>
        <v>71</v>
      </c>
      <c r="C80" s="316">
        <f>IF(ROUND(ROUND(('Loonschijven_Tranches salariale'!$Q78*0.65),4)*$X$1,2)&lt;C$8,C$8,ROUND(ROUND(('Loonschijven_Tranches salariale'!$Q78*0.65),4)*$X$1,2))</f>
        <v>79.28</v>
      </c>
      <c r="D80" s="316">
        <f>IF(ROUND(ROUND(('Loonschijven_Tranches salariale'!$Q78*0.6),4)*$X$1,2)&lt;D$8,D$8,ROUND(ROUND(('Loonschijven_Tranches salariale'!$Q78*0.6),4)*$X$1,2))</f>
        <v>73.180000000000007</v>
      </c>
      <c r="E80" s="316">
        <f>IF(ROUND(ROUND(('Loonschijven_Tranches salariale'!$Q78*0.6),4)*$X$1,2)&lt;E$8,E$8,IF('Loonschijven_Tranches salariale'!$Q78&lt;Basisbedragen!$C$24,ROUND(ROUND(('Loonschijven_Tranches salariale'!$Q78*0.6),4)*$X$1,2),ROUND(ROUND((Basisbedragen!$C$24*0.6),4)*$X$1,2)))</f>
        <v>73.180000000000007</v>
      </c>
      <c r="F80" s="161"/>
      <c r="G80" s="316">
        <f>IF(ROUND(ROUND(('Loonschijven_Tranches salariale'!$Q78*0.6),4)*$X$1,2)&lt;G$8,G$8,IF('Loonschijven_Tranches salariale'!$Q78&lt;Basisbedragen!$C$23,ROUND(ROUND(('Loonschijven_Tranches salariale'!$Q78*0.6),4)*$X$1,2),ROUND(ROUND((Basisbedragen!$C$23*0.6),4)*$X$1,2)))</f>
        <v>68.989999999999995</v>
      </c>
      <c r="H80" s="316">
        <f>IF(ROUND(ROUND(('Loonschijven_Tranches salariale'!$Q78*0.4),4)*$X$1,2)&lt;H$8,H$8,IF('Loonschijven_Tranches salariale'!$Q78&lt;Basisbedragen!$C$23,ROUND(ROUND(('Loonschijven_Tranches salariale'!$Q78*0.4),4)*$X$1,2),ROUND(ROUND((Basisbedragen!$C$23*0.4),4)*$X$1,2)))</f>
        <v>45.99</v>
      </c>
      <c r="I80" s="316">
        <f t="shared" si="8"/>
        <v>43.64</v>
      </c>
      <c r="J80" s="316">
        <f t="shared" si="8"/>
        <v>41.29</v>
      </c>
      <c r="K80" s="316">
        <f t="shared" si="8"/>
        <v>39.75</v>
      </c>
      <c r="L80" s="316">
        <f t="shared" si="8"/>
        <v>39.75</v>
      </c>
      <c r="M80" s="161"/>
      <c r="N80" s="234">
        <f t="shared" si="13"/>
        <v>34.229999999999997</v>
      </c>
      <c r="O80" s="316">
        <f t="shared" si="11"/>
        <v>39.75</v>
      </c>
      <c r="P80" s="161"/>
      <c r="Q80" s="316">
        <f>IF(ROUND(ROUND(('Loonschijven_Tranches salariale'!$Q78*0.55),4)*$X$1,2)&lt;Q$8,Q$8,IF('Loonschijven_Tranches salariale'!$Q78&lt;Basisbedragen!$C$23,ROUND(ROUND(('Loonschijven_Tranches salariale'!$Q78*0.55),4)*$X$1,2),ROUND(ROUND((Basisbedragen!$C$23*0.55),4)*$X$1,2)))</f>
        <v>63.24</v>
      </c>
      <c r="R80" s="316">
        <f t="shared" si="10"/>
        <v>58.43</v>
      </c>
      <c r="S80" s="316">
        <f t="shared" si="10"/>
        <v>53.61</v>
      </c>
      <c r="T80" s="316">
        <f t="shared" si="10"/>
        <v>48.8</v>
      </c>
      <c r="U80" s="316">
        <f t="shared" si="10"/>
        <v>44.69</v>
      </c>
      <c r="V80" s="161"/>
      <c r="W80" s="234">
        <f>N80+ROUND(Basisbedragen!$C$57*$X$1,2)</f>
        <v>39.169999999999995</v>
      </c>
      <c r="X80" s="316">
        <f>O80+ROUND(Basisbedragen!$C$57*$X$1,2)</f>
        <v>44.69</v>
      </c>
      <c r="Y80" s="161"/>
    </row>
    <row r="81" spans="1:25" ht="15" thickBot="1">
      <c r="A81" s="364">
        <f t="shared" si="12"/>
        <v>72</v>
      </c>
      <c r="C81" s="316">
        <f>IF(ROUND(ROUND(('Loonschijven_Tranches salariale'!$Q79*0.65),4)*$X$1,2)&lt;C$8,C$8,ROUND(ROUND(('Loonschijven_Tranches salariale'!$Q79*0.65),4)*$X$1,2))</f>
        <v>79.77</v>
      </c>
      <c r="D81" s="316">
        <f>IF(ROUND(ROUND(('Loonschijven_Tranches salariale'!$Q79*0.6),4)*$X$1,2)&lt;D$8,D$8,ROUND(ROUND(('Loonschijven_Tranches salariale'!$Q79*0.6),4)*$X$1,2))</f>
        <v>73.63</v>
      </c>
      <c r="E81" s="316">
        <f>IF(ROUND(ROUND(('Loonschijven_Tranches salariale'!$Q79*0.6),4)*$X$1,2)&lt;E$8,E$8,IF('Loonschijven_Tranches salariale'!$Q79&lt;Basisbedragen!$C$24,ROUND(ROUND(('Loonschijven_Tranches salariale'!$Q79*0.6),4)*$X$1,2),ROUND(ROUND((Basisbedragen!$C$24*0.6),4)*$X$1,2)))</f>
        <v>73.63</v>
      </c>
      <c r="F81" s="161"/>
      <c r="G81" s="316">
        <f>IF(ROUND(ROUND(('Loonschijven_Tranches salariale'!$Q79*0.6),4)*$X$1,2)&lt;G$8,G$8,IF('Loonschijven_Tranches salariale'!$Q79&lt;Basisbedragen!$C$23,ROUND(ROUND(('Loonschijven_Tranches salariale'!$Q79*0.6),4)*$X$1,2),ROUND(ROUND((Basisbedragen!$C$23*0.6),4)*$X$1,2)))</f>
        <v>68.989999999999995</v>
      </c>
      <c r="H81" s="316">
        <f>IF(ROUND(ROUND(('Loonschijven_Tranches salariale'!$Q79*0.4),4)*$X$1,2)&lt;H$8,H$8,IF('Loonschijven_Tranches salariale'!$Q79&lt;Basisbedragen!$C$23,ROUND(ROUND(('Loonschijven_Tranches salariale'!$Q79*0.4),4)*$X$1,2),ROUND(ROUND((Basisbedragen!$C$23*0.4),4)*$X$1,2)))</f>
        <v>45.99</v>
      </c>
      <c r="I81" s="316">
        <f t="shared" si="8"/>
        <v>43.64</v>
      </c>
      <c r="J81" s="316">
        <f t="shared" si="8"/>
        <v>41.29</v>
      </c>
      <c r="K81" s="316">
        <f t="shared" si="8"/>
        <v>39.75</v>
      </c>
      <c r="L81" s="316">
        <f t="shared" si="8"/>
        <v>39.75</v>
      </c>
      <c r="M81" s="161"/>
      <c r="N81" s="234">
        <f t="shared" si="13"/>
        <v>34.229999999999997</v>
      </c>
      <c r="O81" s="316">
        <f t="shared" si="11"/>
        <v>39.75</v>
      </c>
      <c r="P81" s="161"/>
      <c r="Q81" s="316">
        <f>IF(ROUND(ROUND(('Loonschijven_Tranches salariale'!$Q79*0.55),4)*$X$1,2)&lt;Q$8,Q$8,IF('Loonschijven_Tranches salariale'!$Q79&lt;Basisbedragen!$C$23,ROUND(ROUND(('Loonschijven_Tranches salariale'!$Q79*0.55),4)*$X$1,2),ROUND(ROUND((Basisbedragen!$C$23*0.55),4)*$X$1,2)))</f>
        <v>63.24</v>
      </c>
      <c r="R81" s="316">
        <f t="shared" si="10"/>
        <v>58.43</v>
      </c>
      <c r="S81" s="316">
        <f t="shared" si="10"/>
        <v>53.61</v>
      </c>
      <c r="T81" s="316">
        <f t="shared" si="10"/>
        <v>48.8</v>
      </c>
      <c r="U81" s="316">
        <f t="shared" si="10"/>
        <v>44.69</v>
      </c>
      <c r="V81" s="161"/>
      <c r="W81" s="234">
        <f>N81+ROUND(Basisbedragen!$C$57*$X$1,2)</f>
        <v>39.169999999999995</v>
      </c>
      <c r="X81" s="316">
        <f>O81+ROUND(Basisbedragen!$C$57*$X$1,2)</f>
        <v>44.69</v>
      </c>
      <c r="Y81" s="161"/>
    </row>
    <row r="82" spans="1:25" ht="15" thickBot="1">
      <c r="A82" s="364">
        <f t="shared" si="12"/>
        <v>73</v>
      </c>
      <c r="C82" s="316">
        <f>IF(ROUND(ROUND(('Loonschijven_Tranches salariale'!$Q80*0.65),4)*$X$1,2)&lt;C$8,C$8,ROUND(ROUND(('Loonschijven_Tranches salariale'!$Q80*0.65),4)*$X$1,2))</f>
        <v>80.87</v>
      </c>
      <c r="D82" s="316">
        <f>IF(ROUND(ROUND(('Loonschijven_Tranches salariale'!$Q80*0.6),4)*$X$1,2)&lt;D$8,D$8,ROUND(ROUND(('Loonschijven_Tranches salariale'!$Q80*0.6),4)*$X$1,2))</f>
        <v>74.650000000000006</v>
      </c>
      <c r="E82" s="316">
        <f>IF(ROUND(ROUND(('Loonschijven_Tranches salariale'!$Q80*0.6),4)*$X$1,2)&lt;E$8,E$8,IF('Loonschijven_Tranches salariale'!$Q80&lt;Basisbedragen!$C$24,ROUND(ROUND(('Loonschijven_Tranches salariale'!$Q80*0.6),4)*$X$1,2),ROUND(ROUND((Basisbedragen!$C$24*0.6),4)*$X$1,2)))</f>
        <v>73.819999999999993</v>
      </c>
      <c r="G82" s="316">
        <f>IF(ROUND(ROUND(('Loonschijven_Tranches salariale'!$Q80*0.6),4)*$X$1,2)&lt;G$8,G$8,IF('Loonschijven_Tranches salariale'!$Q80&lt;Basisbedragen!$C$23,ROUND(ROUND(('Loonschijven_Tranches salariale'!$Q80*0.6),4)*$X$1,2),ROUND(ROUND((Basisbedragen!$C$23*0.6),4)*$X$1,2)))</f>
        <v>68.989999999999995</v>
      </c>
      <c r="H82" s="316">
        <f>IF(ROUND(ROUND(('Loonschijven_Tranches salariale'!$Q80*0.4),4)*$X$1,2)&lt;H$8,H$8,IF('Loonschijven_Tranches salariale'!$Q80&lt;Basisbedragen!$C$23,ROUND(ROUND(('Loonschijven_Tranches salariale'!$Q80*0.4),4)*$X$1,2),ROUND(ROUND((Basisbedragen!$C$23*0.4),4)*$X$1,2)))</f>
        <v>45.99</v>
      </c>
      <c r="I82" s="316">
        <f t="shared" si="8"/>
        <v>43.64</v>
      </c>
      <c r="J82" s="316">
        <f t="shared" si="8"/>
        <v>41.29</v>
      </c>
      <c r="K82" s="316">
        <f t="shared" si="8"/>
        <v>39.75</v>
      </c>
      <c r="L82" s="316">
        <f t="shared" si="8"/>
        <v>39.75</v>
      </c>
      <c r="N82" s="234">
        <f t="shared" si="13"/>
        <v>34.229999999999997</v>
      </c>
      <c r="O82" s="316">
        <f t="shared" si="11"/>
        <v>39.75</v>
      </c>
      <c r="Q82" s="316">
        <f>IF(ROUND(ROUND(('Loonschijven_Tranches salariale'!$Q80*0.55),4)*$X$1,2)&lt;Q$8,Q$8,IF('Loonschijven_Tranches salariale'!$Q80&lt;Basisbedragen!$C$23,ROUND(ROUND(('Loonschijven_Tranches salariale'!$Q80*0.55),4)*$X$1,2),ROUND(ROUND((Basisbedragen!$C$23*0.55),4)*$X$1,2)))</f>
        <v>63.24</v>
      </c>
      <c r="R82" s="316">
        <f t="shared" si="10"/>
        <v>58.43</v>
      </c>
      <c r="S82" s="316">
        <f t="shared" si="10"/>
        <v>53.61</v>
      </c>
      <c r="T82" s="316">
        <f t="shared" si="10"/>
        <v>48.8</v>
      </c>
      <c r="U82" s="316">
        <f t="shared" si="10"/>
        <v>44.69</v>
      </c>
      <c r="W82" s="234">
        <f>N82+ROUND(Basisbedragen!$C$57*$X$1,2)</f>
        <v>39.169999999999995</v>
      </c>
      <c r="X82" s="316">
        <f>O82+ROUND(Basisbedragen!$C$57*$X$1,2)</f>
        <v>44.69</v>
      </c>
    </row>
    <row r="83" spans="1:25" ht="15" thickBot="1">
      <c r="A83" s="364">
        <f t="shared" si="12"/>
        <v>74</v>
      </c>
      <c r="C83" s="316">
        <f>IF(ROUND(ROUND(('Loonschijven_Tranches salariale'!$Q81*0.65),4)*$X$1,2)&lt;C$8,C$8,ROUND(ROUND(('Loonschijven_Tranches salariale'!$Q81*0.65),4)*$X$1,2))</f>
        <v>81.36</v>
      </c>
      <c r="D83" s="316">
        <f>IF(ROUND(ROUND(('Loonschijven_Tranches salariale'!$Q81*0.6),4)*$X$1,2)&lt;D$8,D$8,ROUND(ROUND(('Loonschijven_Tranches salariale'!$Q81*0.6),4)*$X$1,2))</f>
        <v>75.099999999999994</v>
      </c>
      <c r="E83" s="316">
        <f>IF(ROUND(ROUND(('Loonschijven_Tranches salariale'!$Q81*0.6),4)*$X$1,2)&lt;E$8,E$8,IF('Loonschijven_Tranches salariale'!$Q81&lt;Basisbedragen!$C$24,ROUND(ROUND(('Loonschijven_Tranches salariale'!$Q81*0.6),4)*$X$1,2),ROUND(ROUND((Basisbedragen!$C$24*0.6),4)*$X$1,2)))</f>
        <v>73.819999999999993</v>
      </c>
      <c r="G83" s="316">
        <f>IF(ROUND(ROUND(('Loonschijven_Tranches salariale'!$Q81*0.6),4)*$X$1,2)&lt;G$8,G$8,IF('Loonschijven_Tranches salariale'!$Q81&lt;Basisbedragen!$C$23,ROUND(ROUND(('Loonschijven_Tranches salariale'!$Q81*0.6),4)*$X$1,2),ROUND(ROUND((Basisbedragen!$C$23*0.6),4)*$X$1,2)))</f>
        <v>68.989999999999995</v>
      </c>
      <c r="H83" s="316">
        <f>IF(ROUND(ROUND(('Loonschijven_Tranches salariale'!$Q81*0.4),4)*$X$1,2)&lt;H$8,H$8,IF('Loonschijven_Tranches salariale'!$Q81&lt;Basisbedragen!$C$23,ROUND(ROUND(('Loonschijven_Tranches salariale'!$Q81*0.4),4)*$X$1,2),ROUND(ROUND((Basisbedragen!$C$23*0.4),4)*$X$1,2)))</f>
        <v>45.99</v>
      </c>
      <c r="I83" s="316">
        <f t="shared" si="8"/>
        <v>43.64</v>
      </c>
      <c r="J83" s="316">
        <f t="shared" si="8"/>
        <v>41.29</v>
      </c>
      <c r="K83" s="316">
        <f t="shared" si="8"/>
        <v>39.75</v>
      </c>
      <c r="L83" s="316">
        <f t="shared" si="8"/>
        <v>39.75</v>
      </c>
      <c r="N83" s="234">
        <f t="shared" si="13"/>
        <v>34.229999999999997</v>
      </c>
      <c r="O83" s="316">
        <f t="shared" si="11"/>
        <v>39.75</v>
      </c>
      <c r="Q83" s="316">
        <f>IF(ROUND(ROUND(('Loonschijven_Tranches salariale'!$Q81*0.55),4)*$X$1,2)&lt;Q$8,Q$8,IF('Loonschijven_Tranches salariale'!$Q81&lt;Basisbedragen!$C$23,ROUND(ROUND(('Loonschijven_Tranches salariale'!$Q81*0.55),4)*$X$1,2),ROUND(ROUND((Basisbedragen!$C$23*0.55),4)*$X$1,2)))</f>
        <v>63.24</v>
      </c>
      <c r="R83" s="316">
        <f t="shared" si="10"/>
        <v>58.43</v>
      </c>
      <c r="S83" s="316">
        <f t="shared" si="10"/>
        <v>53.61</v>
      </c>
      <c r="T83" s="316">
        <f t="shared" si="10"/>
        <v>48.8</v>
      </c>
      <c r="U83" s="316">
        <f t="shared" si="10"/>
        <v>44.69</v>
      </c>
      <c r="W83" s="234">
        <f>N83+ROUND(Basisbedragen!$C$57*$X$1,2)</f>
        <v>39.169999999999995</v>
      </c>
      <c r="X83" s="316">
        <f>O83+ROUND(Basisbedragen!$C$57*$X$1,2)</f>
        <v>44.69</v>
      </c>
    </row>
    <row r="84" spans="1:25" ht="15" thickBot="1">
      <c r="A84" s="364">
        <f>A83+1</f>
        <v>75</v>
      </c>
      <c r="C84" s="316">
        <f>IF(ROUND(ROUND(('Loonschijven_Tranches salariale'!$Q82*0.65),4)*$X$1,2)&lt;C$8,C$8,ROUND(ROUND(('Loonschijven_Tranches salariale'!$Q82*0.65),4)*$X$1,2))</f>
        <v>82.38</v>
      </c>
      <c r="D84" s="316">
        <f>IF(ROUND(ROUND(('Loonschijven_Tranches salariale'!$Q82*0.6),4)*$X$1,2)&lt;D$8,D$8,ROUND(ROUND(('Loonschijven_Tranches salariale'!$Q82*0.6),4)*$X$1,2))</f>
        <v>76.040000000000006</v>
      </c>
      <c r="E84" s="316">
        <f>IF(ROUND(ROUND(('Loonschijven_Tranches salariale'!$Q82*0.6),4)*$X$1,2)&lt;E$8,E$8,IF('Loonschijven_Tranches salariale'!$Q82&lt;Basisbedragen!$C$24,ROUND(ROUND(('Loonschijven_Tranches salariale'!$Q82*0.6),4)*$X$1,2),ROUND(ROUND((Basisbedragen!$C$24*0.6),4)*$X$1,2)))</f>
        <v>73.819999999999993</v>
      </c>
      <c r="G84" s="316">
        <f>IF(ROUND(ROUND(('Loonschijven_Tranches salariale'!$Q82*0.6),4)*$X$1,2)&lt;G$8,G$8,IF('Loonschijven_Tranches salariale'!$Q82&lt;Basisbedragen!$C$23,ROUND(ROUND(('Loonschijven_Tranches salariale'!$Q82*0.6),4)*$X$1,2),ROUND(ROUND((Basisbedragen!$C$23*0.6),4)*$X$1,2)))</f>
        <v>68.989999999999995</v>
      </c>
      <c r="H84" s="316">
        <f>IF(ROUND(ROUND(('Loonschijven_Tranches salariale'!$Q82*0.4),4)*$X$1,2)&lt;H$8,H$8,IF('Loonschijven_Tranches salariale'!$Q82&lt;Basisbedragen!$C$23,ROUND(ROUND(('Loonschijven_Tranches salariale'!$Q82*0.4),4)*$X$1,2),ROUND(ROUND((Basisbedragen!$C$23*0.4),4)*$X$1,2)))</f>
        <v>45.99</v>
      </c>
      <c r="I84" s="316">
        <f t="shared" si="8"/>
        <v>43.64</v>
      </c>
      <c r="J84" s="316">
        <f t="shared" si="8"/>
        <v>41.29</v>
      </c>
      <c r="K84" s="316">
        <f t="shared" si="8"/>
        <v>39.75</v>
      </c>
      <c r="L84" s="316">
        <f t="shared" si="8"/>
        <v>39.75</v>
      </c>
      <c r="N84" s="234">
        <f t="shared" si="13"/>
        <v>34.229999999999997</v>
      </c>
      <c r="O84" s="316">
        <f t="shared" si="11"/>
        <v>39.75</v>
      </c>
      <c r="Q84" s="316">
        <f>IF(ROUND(ROUND(('Loonschijven_Tranches salariale'!$Q82*0.55),4)*$X$1,2)&lt;Q$8,Q$8,IF('Loonschijven_Tranches salariale'!$Q82&lt;Basisbedragen!$C$23,ROUND(ROUND(('Loonschijven_Tranches salariale'!$Q82*0.55),4)*$X$1,2),ROUND(ROUND((Basisbedragen!$C$23*0.55),4)*$X$1,2)))</f>
        <v>63.24</v>
      </c>
      <c r="R84" s="316">
        <f t="shared" si="10"/>
        <v>58.43</v>
      </c>
      <c r="S84" s="316">
        <f t="shared" si="10"/>
        <v>53.61</v>
      </c>
      <c r="T84" s="316">
        <f t="shared" si="10"/>
        <v>48.8</v>
      </c>
      <c r="U84" s="316">
        <f t="shared" si="10"/>
        <v>44.69</v>
      </c>
      <c r="W84" s="234">
        <f>N84+ROUND(Basisbedragen!$C$57*$X$1,2)</f>
        <v>39.169999999999995</v>
      </c>
      <c r="X84" s="316">
        <f>O84+ROUND(Basisbedragen!$C$57*$X$1,2)</f>
        <v>44.69</v>
      </c>
    </row>
    <row r="85" spans="1:25" ht="15" thickBot="1">
      <c r="A85" s="364">
        <f>A84+1</f>
        <v>76</v>
      </c>
      <c r="C85" s="316">
        <f>IF(ROUND(ROUND(('Loonschijven_Tranches salariale'!$Q83*0.65),4)*$X$1,2)&lt;C$8,C$8,ROUND(ROUND(('Loonschijven_Tranches salariale'!$Q83*0.65),4)*$X$1,2))</f>
        <v>83.04</v>
      </c>
      <c r="D85" s="316">
        <f>IF(ROUND(ROUND(('Loonschijven_Tranches salariale'!$Q83*0.6),4)*$X$1,2)&lt;D$8,D$8,ROUND(ROUND(('Loonschijven_Tranches salariale'!$Q83*0.6),4)*$X$1,2))</f>
        <v>76.650000000000006</v>
      </c>
      <c r="E85" s="316">
        <f>IF(ROUND(ROUND(('Loonschijven_Tranches salariale'!$Q83*0.6),4)*$X$1,2)&lt;E$8,E$8,IF('Loonschijven_Tranches salariale'!$Q83&lt;Basisbedragen!$C$24,ROUND(ROUND(('Loonschijven_Tranches salariale'!$Q83*0.6),4)*$X$1,2),ROUND(ROUND((Basisbedragen!$C$24*0.6),4)*$X$1,2)))</f>
        <v>73.819999999999993</v>
      </c>
      <c r="G85" s="316">
        <f>IF(ROUND(ROUND(('Loonschijven_Tranches salariale'!$Q83*0.6),4)*$X$1,2)&lt;G$8,G$8,IF('Loonschijven_Tranches salariale'!$Q83&lt;Basisbedragen!$C$23,ROUND(ROUND(('Loonschijven_Tranches salariale'!$Q83*0.6),4)*$X$1,2),ROUND(ROUND((Basisbedragen!$C$23*0.6),4)*$X$1,2)))</f>
        <v>68.989999999999995</v>
      </c>
      <c r="H85" s="316">
        <f>IF(ROUND(ROUND(('Loonschijven_Tranches salariale'!$Q83*0.4),4)*$X$1,2)&lt;H$8,H$8,IF('Loonschijven_Tranches salariale'!$Q83&lt;Basisbedragen!$C$23,ROUND(ROUND(('Loonschijven_Tranches salariale'!$Q83*0.4),4)*$X$1,2),ROUND(ROUND((Basisbedragen!$C$23*0.4),4)*$X$1,2)))</f>
        <v>45.99</v>
      </c>
      <c r="I85" s="316">
        <f t="shared" si="8"/>
        <v>43.64</v>
      </c>
      <c r="J85" s="316">
        <f t="shared" si="8"/>
        <v>41.29</v>
      </c>
      <c r="K85" s="316">
        <f t="shared" si="8"/>
        <v>39.75</v>
      </c>
      <c r="L85" s="316">
        <f t="shared" si="8"/>
        <v>39.75</v>
      </c>
      <c r="N85" s="234">
        <f t="shared" si="13"/>
        <v>34.229999999999997</v>
      </c>
      <c r="O85" s="316">
        <f t="shared" si="11"/>
        <v>39.75</v>
      </c>
      <c r="Q85" s="316">
        <f>IF(ROUND(ROUND(('Loonschijven_Tranches salariale'!$Q83*0.55),4)*$X$1,2)&lt;Q$8,Q$8,IF('Loonschijven_Tranches salariale'!$Q83&lt;Basisbedragen!$C$23,ROUND(ROUND(('Loonschijven_Tranches salariale'!$Q83*0.55),4)*$X$1,2),ROUND(ROUND((Basisbedragen!$C$23*0.55),4)*$X$1,2)))</f>
        <v>63.24</v>
      </c>
      <c r="R85" s="316">
        <f t="shared" si="10"/>
        <v>58.43</v>
      </c>
      <c r="S85" s="316">
        <f t="shared" si="10"/>
        <v>53.61</v>
      </c>
      <c r="T85" s="316">
        <f t="shared" si="10"/>
        <v>48.8</v>
      </c>
      <c r="U85" s="316">
        <f t="shared" si="10"/>
        <v>44.69</v>
      </c>
      <c r="W85" s="234">
        <f>N85+ROUND(Basisbedragen!$C$57*$X$1,2)</f>
        <v>39.169999999999995</v>
      </c>
      <c r="X85" s="316">
        <f>O85+ROUND(Basisbedragen!$C$57*$X$1,2)</f>
        <v>44.69</v>
      </c>
    </row>
    <row r="86" spans="1:25" ht="15" thickBot="1">
      <c r="A86" s="364">
        <f>A85+1</f>
        <v>77</v>
      </c>
      <c r="C86" s="316">
        <f>IF(ROUND(ROUND(('Loonschijven_Tranches salariale'!$Q84*0.65),4)*$X$1,2)&lt;C$8,C$8,ROUND(ROUND(('Loonschijven_Tranches salariale'!$Q84*0.65),4)*$X$1,2))</f>
        <v>83.95</v>
      </c>
      <c r="D86" s="316">
        <f>IF(ROUND(ROUND(('Loonschijven_Tranches salariale'!$Q84*0.6),4)*$X$1,2)&lt;D$8,D$8,ROUND(ROUND(('Loonschijven_Tranches salariale'!$Q84*0.6),4)*$X$1,2))</f>
        <v>77.489999999999995</v>
      </c>
      <c r="E86" s="316">
        <f>IF(ROUND(ROUND(('Loonschijven_Tranches salariale'!$Q84*0.6),4)*$X$1,2)&lt;E$8,E$8,IF('Loonschijven_Tranches salariale'!$Q84&lt;Basisbedragen!$C$24,ROUND(ROUND(('Loonschijven_Tranches salariale'!$Q84*0.6),4)*$X$1,2),ROUND(ROUND((Basisbedragen!$C$24*0.6),4)*$X$1,2)))</f>
        <v>73.819999999999993</v>
      </c>
      <c r="G86" s="316">
        <f>IF(ROUND(ROUND(('Loonschijven_Tranches salariale'!$Q84*0.6),4)*$X$1,2)&lt;G$8,G$8,IF('Loonschijven_Tranches salariale'!$Q84&lt;Basisbedragen!$C$23,ROUND(ROUND(('Loonschijven_Tranches salariale'!$Q84*0.6),4)*$X$1,2),ROUND(ROUND((Basisbedragen!$C$23*0.6),4)*$X$1,2)))</f>
        <v>68.989999999999995</v>
      </c>
      <c r="H86" s="316">
        <f>IF(ROUND(ROUND(('Loonschijven_Tranches salariale'!$Q84*0.4),4)*$X$1,2)&lt;H$8,H$8,IF('Loonschijven_Tranches salariale'!$Q84&lt;Basisbedragen!$C$23,ROUND(ROUND(('Loonschijven_Tranches salariale'!$Q84*0.4),4)*$X$1,2),ROUND(ROUND((Basisbedragen!$C$23*0.4),4)*$X$1,2)))</f>
        <v>45.99</v>
      </c>
      <c r="I86" s="316">
        <f t="shared" si="8"/>
        <v>43.64</v>
      </c>
      <c r="J86" s="316">
        <f t="shared" si="8"/>
        <v>41.29</v>
      </c>
      <c r="K86" s="316">
        <f t="shared" si="8"/>
        <v>39.75</v>
      </c>
      <c r="L86" s="316">
        <f t="shared" si="8"/>
        <v>39.75</v>
      </c>
      <c r="N86" s="234">
        <f t="shared" si="13"/>
        <v>34.229999999999997</v>
      </c>
      <c r="O86" s="316">
        <f t="shared" si="11"/>
        <v>39.75</v>
      </c>
      <c r="Q86" s="316">
        <f>IF(ROUND(ROUND(('Loonschijven_Tranches salariale'!$Q84*0.55),4)*$X$1,2)&lt;Q$8,Q$8,IF('Loonschijven_Tranches salariale'!$Q84&lt;Basisbedragen!$C$23,ROUND(ROUND(('Loonschijven_Tranches salariale'!$Q84*0.55),4)*$X$1,2),ROUND(ROUND((Basisbedragen!$C$23*0.55),4)*$X$1,2)))</f>
        <v>63.24</v>
      </c>
      <c r="R86" s="316">
        <f t="shared" si="10"/>
        <v>58.43</v>
      </c>
      <c r="S86" s="316">
        <f t="shared" si="10"/>
        <v>53.61</v>
      </c>
      <c r="T86" s="316">
        <f t="shared" si="10"/>
        <v>48.8</v>
      </c>
      <c r="U86" s="316">
        <f t="shared" si="10"/>
        <v>44.69</v>
      </c>
      <c r="W86" s="234">
        <f>N86+ROUND(Basisbedragen!$C$57*$X$1,2)</f>
        <v>39.169999999999995</v>
      </c>
      <c r="X86" s="316">
        <f>O86+ROUND(Basisbedragen!$C$57*$X$1,2)</f>
        <v>44.69</v>
      </c>
    </row>
    <row r="87" spans="1:25" ht="15" thickBot="1">
      <c r="A87" s="364">
        <f>A86+1</f>
        <v>78</v>
      </c>
      <c r="B87" s="486"/>
      <c r="C87" s="316">
        <f>IF(ROUND(ROUND(('Loonschijven_Tranches salariale'!$Q85*0.65),4)*$X$1,2)&lt;C$8,C$8,ROUND(ROUND(('Loonschijven_Tranches salariale'!$Q85*0.65),4)*$X$1,2))</f>
        <v>84.88</v>
      </c>
      <c r="D87" s="316">
        <f>IF(ROUND(ROUND(('Loonschijven_Tranches salariale'!$Q85*0.6),4)*$X$1,2)&lt;D$8,D$8,ROUND(ROUND(('Loonschijven_Tranches salariale'!$Q85*0.6),4)*$X$1,2))</f>
        <v>78.349999999999994</v>
      </c>
      <c r="E87" s="316">
        <f>IF(ROUND(ROUND(('Loonschijven_Tranches salariale'!$Q85*0.6),4)*$X$1,2)&lt;E$8,E$8,IF('Loonschijven_Tranches salariale'!$Q85&lt;Basisbedragen!$C$24,ROUND(ROUND(('Loonschijven_Tranches salariale'!$Q85*0.6),4)*$X$1,2),ROUND(ROUND((Basisbedragen!$C$24*0.6),4)*$X$1,2)))</f>
        <v>73.819999999999993</v>
      </c>
      <c r="F87" s="486"/>
      <c r="G87" s="316">
        <f>IF(ROUND(ROUND(('Loonschijven_Tranches salariale'!$Q85*0.6),4)*$X$1,2)&lt;G$8,G$8,IF('Loonschijven_Tranches salariale'!$Q85&lt;Basisbedragen!$C$23,ROUND(ROUND(('Loonschijven_Tranches salariale'!$Q85*0.6),4)*$X$1,2),ROUND(ROUND((Basisbedragen!$C$23*0.6),4)*$X$1,2)))</f>
        <v>68.989999999999995</v>
      </c>
      <c r="H87" s="316">
        <f>IF(ROUND(ROUND(('Loonschijven_Tranches salariale'!$Q85*0.4),4)*$X$1,2)&lt;H$8,H$8,IF('Loonschijven_Tranches salariale'!$Q85&lt;Basisbedragen!$C$23,ROUND(ROUND(('Loonschijven_Tranches salariale'!$Q85*0.4),4)*$X$1,2),ROUND(ROUND((Basisbedragen!$C$23*0.4),4)*$X$1,2)))</f>
        <v>45.99</v>
      </c>
      <c r="I87" s="316">
        <f t="shared" si="8"/>
        <v>43.64</v>
      </c>
      <c r="J87" s="316">
        <f t="shared" si="8"/>
        <v>41.29</v>
      </c>
      <c r="K87" s="316">
        <f t="shared" si="8"/>
        <v>39.75</v>
      </c>
      <c r="L87" s="316">
        <f t="shared" si="8"/>
        <v>39.75</v>
      </c>
      <c r="M87" s="486"/>
      <c r="N87" s="234">
        <f t="shared" si="13"/>
        <v>34.229999999999997</v>
      </c>
      <c r="O87" s="316">
        <f t="shared" si="11"/>
        <v>39.75</v>
      </c>
      <c r="P87" s="486"/>
      <c r="Q87" s="316">
        <f>IF(ROUND(ROUND(('Loonschijven_Tranches salariale'!$Q85*0.55),4)*$X$1,2)&lt;Q$8,Q$8,IF('Loonschijven_Tranches salariale'!$Q85&lt;Basisbedragen!$C$23,ROUND(ROUND(('Loonschijven_Tranches salariale'!$Q85*0.55),4)*$X$1,2),ROUND(ROUND((Basisbedragen!$C$23*0.55),4)*$X$1,2)))</f>
        <v>63.24</v>
      </c>
      <c r="R87" s="316">
        <f t="shared" si="10"/>
        <v>58.43</v>
      </c>
      <c r="S87" s="316">
        <f t="shared" si="10"/>
        <v>53.61</v>
      </c>
      <c r="T87" s="316">
        <f t="shared" si="10"/>
        <v>48.8</v>
      </c>
      <c r="U87" s="316">
        <f t="shared" si="10"/>
        <v>44.69</v>
      </c>
      <c r="V87" s="486"/>
      <c r="W87" s="234">
        <f>N87+ROUND(Basisbedragen!$C$57*$X$1,2)</f>
        <v>39.169999999999995</v>
      </c>
      <c r="X87" s="316">
        <f>O87+ROUND(Basisbedragen!$C$57*$X$1,2)</f>
        <v>44.69</v>
      </c>
    </row>
    <row r="88" spans="1:25" ht="15" thickBot="1">
      <c r="A88" s="364">
        <f>A87+1</f>
        <v>79</v>
      </c>
      <c r="B88" s="512"/>
      <c r="C88" s="316">
        <f>IF(ROUND(ROUND(('Loonschijven_Tranches salariale'!$Q86*0.65),4)*$X$1,2)&lt;C$8,C$8,ROUND(ROUND(('Loonschijven_Tranches salariale'!$Q86*0.65),4)*$X$1,2))</f>
        <v>85.81</v>
      </c>
      <c r="D88" s="316">
        <f>IF(ROUND(ROUND(('Loonschijven_Tranches salariale'!$Q86*0.6),4)*$X$1,2)&lt;D$8,D$8,ROUND(ROUND(('Loonschijven_Tranches salariale'!$Q86*0.6),4)*$X$1,2))</f>
        <v>79.209999999999994</v>
      </c>
      <c r="E88" s="316">
        <f>IF(ROUND(ROUND(('Loonschijven_Tranches salariale'!$Q86*0.6),4)*$X$1,2)&lt;E$8,E$8,IF('Loonschijven_Tranches salariale'!$Q86&lt;Basisbedragen!$C$24,ROUND(ROUND(('Loonschijven_Tranches salariale'!$Q86*0.6),4)*$X$1,2),ROUND(ROUND((Basisbedragen!$C$24*0.6),4)*$X$1,2)))</f>
        <v>73.819999999999993</v>
      </c>
      <c r="F88" s="512"/>
      <c r="G88" s="316">
        <f>IF(ROUND(ROUND(('Loonschijven_Tranches salariale'!$Q86*0.6),4)*$X$1,2)&lt;G$8,G$8,IF('Loonschijven_Tranches salariale'!$Q86&lt;Basisbedragen!$C$23,ROUND(ROUND(('Loonschijven_Tranches salariale'!$Q86*0.6),4)*$X$1,2),ROUND(ROUND((Basisbedragen!$C$23*0.6),4)*$X$1,2)))</f>
        <v>68.989999999999995</v>
      </c>
      <c r="H88" s="316">
        <f>IF(ROUND(ROUND(('Loonschijven_Tranches salariale'!$Q86*0.4),4)*$X$1,2)&lt;H$8,H$8,IF('Loonschijven_Tranches salariale'!$Q86&lt;Basisbedragen!$C$23,ROUND(ROUND(('Loonschijven_Tranches salariale'!$Q86*0.4),4)*$X$1,2),ROUND(ROUND((Basisbedragen!$C$23*0.4),4)*$X$1,2)))</f>
        <v>45.99</v>
      </c>
      <c r="I88" s="316">
        <f t="shared" si="8"/>
        <v>43.64</v>
      </c>
      <c r="J88" s="316">
        <f t="shared" si="8"/>
        <v>41.29</v>
      </c>
      <c r="K88" s="316">
        <f t="shared" si="8"/>
        <v>39.75</v>
      </c>
      <c r="L88" s="316">
        <f t="shared" si="8"/>
        <v>39.75</v>
      </c>
      <c r="M88" s="512"/>
      <c r="N88" s="234">
        <f t="shared" si="13"/>
        <v>34.229999999999997</v>
      </c>
      <c r="O88" s="316">
        <f t="shared" si="11"/>
        <v>39.75</v>
      </c>
      <c r="P88" s="512"/>
      <c r="Q88" s="316">
        <f>IF(ROUND(ROUND(('Loonschijven_Tranches salariale'!$Q86*0.55),4)*$X$1,2)&lt;Q$8,Q$8,IF('Loonschijven_Tranches salariale'!$Q86&lt;Basisbedragen!$C$23,ROUND(ROUND(('Loonschijven_Tranches salariale'!$Q86*0.55),4)*$X$1,2),ROUND(ROUND((Basisbedragen!$C$23*0.55),4)*$X$1,2)))</f>
        <v>63.24</v>
      </c>
      <c r="R88" s="316">
        <f t="shared" si="10"/>
        <v>58.43</v>
      </c>
      <c r="S88" s="316">
        <f t="shared" si="10"/>
        <v>53.61</v>
      </c>
      <c r="T88" s="316">
        <f t="shared" si="10"/>
        <v>48.8</v>
      </c>
      <c r="U88" s="316">
        <f t="shared" si="10"/>
        <v>44.69</v>
      </c>
      <c r="V88" s="512"/>
      <c r="W88" s="234">
        <f>N88+ROUND(Basisbedragen!$C$57*$X$1,2)</f>
        <v>39.169999999999995</v>
      </c>
      <c r="X88" s="316">
        <f>O88+ROUND(Basisbedragen!$C$57*$X$1,2)</f>
        <v>44.69</v>
      </c>
    </row>
  </sheetData>
  <sheetProtection algorithmName="SHA-512" hashValue="Pd16Htb9+B32eefsYEohcjbDwcKXLHlYE/e+dhDyWusImfCV2JVjy5BBzA5e5LowyJXAzObNxbf8RAgZFrgZvw==" saltValue="2b1SOWVb9obLl1PM3AEO8g==" spinCount="100000" sheet="1" objects="1" scenarios="1"/>
  <mergeCells count="12">
    <mergeCell ref="C4:E4"/>
    <mergeCell ref="H4:L4"/>
    <mergeCell ref="Q4:U4"/>
    <mergeCell ref="AL1:AM1"/>
    <mergeCell ref="Q3:U3"/>
    <mergeCell ref="AE2:AL2"/>
    <mergeCell ref="C3:E3"/>
    <mergeCell ref="H3:L3"/>
    <mergeCell ref="T1:U1"/>
    <mergeCell ref="Z1:AH1"/>
    <mergeCell ref="C1:S1"/>
    <mergeCell ref="C2:S2"/>
  </mergeCells>
  <conditionalFormatting sqref="O10:O88 X10:X88 C10:E88 G10:L88 Q10:U88">
    <cfRule type="expression" dxfId="23" priority="4">
      <formula>MOD(INDIRECT(ADDRESS(ROW(),1)),5)=0</formula>
    </cfRule>
  </conditionalFormatting>
  <pageMargins left="0.23622047244094491" right="0.23622047244094491" top="0.74803149606299213" bottom="0.74803149606299213" header="0.31496062992125984" footer="0.31496062992125984"/>
  <pageSetup paperSize="9" scale="63" fitToWidth="0" orientation="landscape" r:id="rId1"/>
  <headerFooter>
    <oddFooter>&amp;LRijksdienst voor Arbeidsvoorziening&amp;ROffice national de l'Emploi</oddFooter>
  </headerFooter>
  <rowBreaks count="1" manualBreakCount="1">
    <brk id="48" max="23" man="1"/>
  </rowBreaks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0.6640625" customWidth="1"/>
    <col min="6" max="6" width="0.6640625" customWidth="1"/>
    <col min="12" max="12" width="0.6640625" customWidth="1"/>
    <col min="14" max="14" width="0.6640625" customWidth="1"/>
    <col min="20" max="20" width="0.6640625" customWidth="1"/>
  </cols>
  <sheetData>
    <row r="1" spans="1:21" ht="15" customHeight="1">
      <c r="A1" s="185" t="s">
        <v>33</v>
      </c>
      <c r="C1" s="600" t="s">
        <v>53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599" t="s">
        <v>34</v>
      </c>
      <c r="S1" s="599"/>
      <c r="T1" s="81"/>
      <c r="U1" s="497">
        <f>Basisbedragen!$H$2</f>
        <v>1.7410000000000001</v>
      </c>
    </row>
    <row r="2" spans="1:21" ht="15.6">
      <c r="A2" s="492">
        <f>A!A2</f>
        <v>45689</v>
      </c>
      <c r="C2" s="600" t="s">
        <v>231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45"/>
      <c r="T2" s="45"/>
      <c r="U2" s="45"/>
    </row>
    <row r="3" spans="1:21">
      <c r="A3" s="46"/>
      <c r="C3" s="597" t="s">
        <v>47</v>
      </c>
      <c r="D3" s="597"/>
      <c r="E3" s="597"/>
      <c r="F3" s="429"/>
      <c r="G3" s="597" t="s">
        <v>48</v>
      </c>
      <c r="H3" s="597"/>
      <c r="I3" s="597"/>
      <c r="J3" s="597"/>
      <c r="K3" s="597"/>
      <c r="L3" s="429"/>
      <c r="M3" s="430" t="s">
        <v>37</v>
      </c>
      <c r="N3" s="429"/>
      <c r="O3" s="597" t="s">
        <v>50</v>
      </c>
      <c r="P3" s="597"/>
      <c r="Q3" s="597"/>
      <c r="R3" s="597"/>
      <c r="S3" s="597"/>
      <c r="T3" s="429"/>
      <c r="U3" s="430" t="s">
        <v>37</v>
      </c>
    </row>
    <row r="4" spans="1:21" ht="30" customHeight="1" thickBot="1">
      <c r="A4" s="46"/>
      <c r="C4" s="597"/>
      <c r="D4" s="597"/>
      <c r="E4" s="597"/>
      <c r="F4" s="429"/>
      <c r="G4" s="597"/>
      <c r="H4" s="597"/>
      <c r="I4" s="597"/>
      <c r="J4" s="597"/>
      <c r="K4" s="597"/>
      <c r="L4" s="429"/>
      <c r="M4" s="431" t="s">
        <v>49</v>
      </c>
      <c r="N4" s="429"/>
      <c r="O4" s="598"/>
      <c r="P4" s="598"/>
      <c r="Q4" s="598"/>
      <c r="R4" s="598"/>
      <c r="S4" s="598"/>
      <c r="T4" s="429"/>
      <c r="U4" s="432" t="s">
        <v>51</v>
      </c>
    </row>
    <row r="5" spans="1:21" ht="52.5" customHeight="1" thickBot="1">
      <c r="A5" s="52" t="s">
        <v>35</v>
      </c>
      <c r="C5" s="55" t="s">
        <v>5</v>
      </c>
      <c r="D5" s="56" t="s">
        <v>236</v>
      </c>
      <c r="E5" s="55" t="s">
        <v>6</v>
      </c>
      <c r="F5" s="47"/>
      <c r="G5" s="56" t="s">
        <v>537</v>
      </c>
      <c r="H5" s="56" t="s">
        <v>7</v>
      </c>
      <c r="I5" s="56" t="s">
        <v>8</v>
      </c>
      <c r="J5" s="56" t="s">
        <v>9</v>
      </c>
      <c r="K5" s="56" t="s">
        <v>10</v>
      </c>
      <c r="L5" s="48"/>
      <c r="M5" s="56" t="s">
        <v>535</v>
      </c>
      <c r="N5" s="48"/>
      <c r="O5" s="56" t="s">
        <v>265</v>
      </c>
      <c r="P5" s="56" t="s">
        <v>18</v>
      </c>
      <c r="Q5" s="56" t="s">
        <v>19</v>
      </c>
      <c r="R5" s="56" t="s">
        <v>20</v>
      </c>
      <c r="S5" s="56" t="s">
        <v>21</v>
      </c>
      <c r="T5" s="48"/>
      <c r="U5" s="56" t="s">
        <v>237</v>
      </c>
    </row>
    <row r="6" spans="1:21" ht="15.75" hidden="1" customHeight="1" thickBot="1">
      <c r="A6" s="53"/>
      <c r="C6" s="57"/>
      <c r="D6" s="58"/>
      <c r="E6" s="58"/>
      <c r="F6" s="49"/>
      <c r="G6" s="58"/>
      <c r="H6" s="58">
        <v>1</v>
      </c>
      <c r="I6" s="58">
        <v>2</v>
      </c>
      <c r="J6" s="58">
        <v>3</v>
      </c>
      <c r="K6" s="58">
        <v>4</v>
      </c>
      <c r="L6" s="49"/>
      <c r="M6" s="58"/>
      <c r="N6" s="49"/>
      <c r="O6" s="58"/>
      <c r="P6" s="58">
        <v>1</v>
      </c>
      <c r="Q6" s="58">
        <v>2</v>
      </c>
      <c r="R6" s="58">
        <v>3</v>
      </c>
      <c r="S6" s="58">
        <v>4</v>
      </c>
      <c r="T6" s="49"/>
      <c r="U6" s="58"/>
    </row>
    <row r="7" spans="1:21" s="65" customFormat="1" ht="15" thickBot="1">
      <c r="A7" s="62"/>
      <c r="B7"/>
      <c r="C7" s="64">
        <v>0.65</v>
      </c>
      <c r="D7" s="66">
        <v>0.6</v>
      </c>
      <c r="E7" s="66">
        <v>0.6</v>
      </c>
      <c r="F7" s="63"/>
      <c r="G7" s="66">
        <v>0.6</v>
      </c>
      <c r="H7" s="62"/>
      <c r="I7" s="62"/>
      <c r="J7" s="62"/>
      <c r="K7" s="62"/>
      <c r="L7" s="63"/>
      <c r="M7" s="62"/>
      <c r="N7" s="63"/>
      <c r="O7" s="62" t="s">
        <v>36</v>
      </c>
      <c r="P7" s="62"/>
      <c r="Q7" s="62"/>
      <c r="R7" s="62"/>
      <c r="S7" s="62"/>
      <c r="T7" s="63"/>
      <c r="U7" s="62"/>
    </row>
    <row r="8" spans="1:21" s="69" customFormat="1" ht="18.75" customHeight="1" thickBot="1">
      <c r="A8" s="70" t="s">
        <v>4</v>
      </c>
      <c r="B8"/>
      <c r="C8" s="106">
        <f>ROUND(A!C8/2,2)</f>
        <v>34.119999999999997</v>
      </c>
      <c r="D8" s="106">
        <f t="shared" ref="D8:K8" si="0">$C$8</f>
        <v>34.119999999999997</v>
      </c>
      <c r="E8" s="106">
        <f t="shared" si="0"/>
        <v>34.119999999999997</v>
      </c>
      <c r="F8" s="184"/>
      <c r="G8" s="106">
        <f t="shared" si="0"/>
        <v>34.119999999999997</v>
      </c>
      <c r="H8" s="106">
        <f t="shared" si="0"/>
        <v>34.119999999999997</v>
      </c>
      <c r="I8" s="106">
        <f t="shared" si="0"/>
        <v>34.119999999999997</v>
      </c>
      <c r="J8" s="106">
        <f t="shared" si="0"/>
        <v>34.119999999999997</v>
      </c>
      <c r="K8" s="106">
        <f t="shared" si="0"/>
        <v>34.119999999999997</v>
      </c>
      <c r="L8" s="184"/>
      <c r="M8" s="67"/>
      <c r="N8" s="184"/>
      <c r="O8" s="106">
        <f>ROUND(A!P8/2,2)</f>
        <v>34.57</v>
      </c>
      <c r="P8" s="106">
        <f>MIN(P9:P80)</f>
        <v>34.57</v>
      </c>
      <c r="Q8" s="106">
        <f>MIN(Q9:Q80)</f>
        <v>34.57</v>
      </c>
      <c r="R8" s="106">
        <f>MIN(R9:R80)</f>
        <v>34.57</v>
      </c>
      <c r="S8" s="106">
        <f>MIN(S9:S80)</f>
        <v>34.57</v>
      </c>
      <c r="T8" s="184"/>
      <c r="U8" s="67"/>
    </row>
    <row r="9" spans="1:21" ht="15.75" hidden="1" customHeight="1" outlineLevel="1" thickBot="1">
      <c r="A9" s="54">
        <v>1</v>
      </c>
      <c r="C9" s="59">
        <f>ROUND(A!C9/2,2)</f>
        <v>34.119999999999997</v>
      </c>
      <c r="D9" s="59">
        <f>ROUND(A!D9/2,2)</f>
        <v>34.119999999999997</v>
      </c>
      <c r="E9" s="59">
        <f>ROUND(A!E9/2,2)</f>
        <v>34.119999999999997</v>
      </c>
      <c r="G9" s="59">
        <f>ROUND(A!G9/2,2)</f>
        <v>34.119999999999997</v>
      </c>
      <c r="H9" s="59">
        <f>ROUND(A!H9/2,2)</f>
        <v>34.119999999999997</v>
      </c>
      <c r="I9" s="59">
        <f>ROUND(A!I9/2,2)</f>
        <v>34.119999999999997</v>
      </c>
      <c r="J9" s="59">
        <f>ROUND(A!J9/2,2)</f>
        <v>34.119999999999997</v>
      </c>
      <c r="K9" s="59">
        <f>ROUND(A!K9/2,2)</f>
        <v>34.119999999999997</v>
      </c>
      <c r="M9" s="59">
        <f>ROUND(A!N9/2,2)</f>
        <v>34.119999999999997</v>
      </c>
      <c r="O9" s="59">
        <f>ROUND(A!P9/2,2)</f>
        <v>34.57</v>
      </c>
      <c r="P9" s="59">
        <f>ROUND(A!Q9/2,2)</f>
        <v>34.57</v>
      </c>
      <c r="Q9" s="59">
        <f>ROUND(A!R9/2,2)</f>
        <v>34.57</v>
      </c>
      <c r="R9" s="59">
        <f>ROUND(A!S9/2,2)</f>
        <v>34.57</v>
      </c>
      <c r="S9" s="59">
        <f>ROUND(A!T9/2,2)</f>
        <v>34.57</v>
      </c>
      <c r="U9" s="59">
        <f>ROUND(A!W9/2,2)</f>
        <v>34.57</v>
      </c>
    </row>
    <row r="10" spans="1:21" ht="15.75" hidden="1" customHeight="1" outlineLevel="1" thickBot="1">
      <c r="A10" s="54">
        <f>A9+1</f>
        <v>2</v>
      </c>
      <c r="C10" s="59">
        <f>ROUND(A!C10/2,2)</f>
        <v>34.119999999999997</v>
      </c>
      <c r="D10" s="59">
        <f>ROUND(A!D10/2,2)</f>
        <v>34.119999999999997</v>
      </c>
      <c r="E10" s="59">
        <f>ROUND(A!E10/2,2)</f>
        <v>34.119999999999997</v>
      </c>
      <c r="G10" s="59">
        <f>ROUND(A!G10/2,2)</f>
        <v>34.119999999999997</v>
      </c>
      <c r="H10" s="59">
        <f>ROUND(A!H10/2,2)</f>
        <v>34.119999999999997</v>
      </c>
      <c r="I10" s="59">
        <f>ROUND(A!I10/2,2)</f>
        <v>34.119999999999997</v>
      </c>
      <c r="J10" s="59">
        <f>ROUND(A!J10/2,2)</f>
        <v>34.119999999999997</v>
      </c>
      <c r="K10" s="59">
        <f>ROUND(A!K10/2,2)</f>
        <v>34.119999999999997</v>
      </c>
      <c r="M10" s="59">
        <f>ROUND(A!N10/2,2)</f>
        <v>34.119999999999997</v>
      </c>
      <c r="O10" s="59">
        <f>ROUND(A!P10/2,2)</f>
        <v>34.57</v>
      </c>
      <c r="P10" s="59">
        <f>ROUND(A!Q10/2,2)</f>
        <v>34.57</v>
      </c>
      <c r="Q10" s="59">
        <f>ROUND(A!R10/2,2)</f>
        <v>34.57</v>
      </c>
      <c r="R10" s="59">
        <f>ROUND(A!S10/2,2)</f>
        <v>34.57</v>
      </c>
      <c r="S10" s="59">
        <f>ROUND(A!T10/2,2)</f>
        <v>34.57</v>
      </c>
      <c r="U10" s="59">
        <f>ROUND(A!W10/2,2)</f>
        <v>34.57</v>
      </c>
    </row>
    <row r="11" spans="1:21" ht="15.75" hidden="1" customHeight="1" outlineLevel="1" thickBot="1">
      <c r="A11" s="54">
        <f t="shared" ref="A11:A74" si="1">A10+1</f>
        <v>3</v>
      </c>
      <c r="C11" s="59">
        <f>ROUND(A!C11/2,2)</f>
        <v>34.119999999999997</v>
      </c>
      <c r="D11" s="59">
        <f>ROUND(A!D11/2,2)</f>
        <v>34.119999999999997</v>
      </c>
      <c r="E11" s="59">
        <f>ROUND(A!E11/2,2)</f>
        <v>34.119999999999997</v>
      </c>
      <c r="G11" s="59">
        <f>ROUND(A!G11/2,2)</f>
        <v>34.119999999999997</v>
      </c>
      <c r="H11" s="59">
        <f>ROUND(A!H11/2,2)</f>
        <v>34.119999999999997</v>
      </c>
      <c r="I11" s="59">
        <f>ROUND(A!I11/2,2)</f>
        <v>34.119999999999997</v>
      </c>
      <c r="J11" s="59">
        <f>ROUND(A!J11/2,2)</f>
        <v>34.119999999999997</v>
      </c>
      <c r="K11" s="59">
        <f>ROUND(A!K11/2,2)</f>
        <v>34.119999999999997</v>
      </c>
      <c r="M11" s="59">
        <f>ROUND(A!N11/2,2)</f>
        <v>34.119999999999997</v>
      </c>
      <c r="O11" s="59">
        <f>ROUND(A!P11/2,2)</f>
        <v>34.57</v>
      </c>
      <c r="P11" s="59">
        <f>ROUND(A!Q11/2,2)</f>
        <v>34.57</v>
      </c>
      <c r="Q11" s="59">
        <f>ROUND(A!R11/2,2)</f>
        <v>34.57</v>
      </c>
      <c r="R11" s="59">
        <f>ROUND(A!S11/2,2)</f>
        <v>34.57</v>
      </c>
      <c r="S11" s="59">
        <f>ROUND(A!T11/2,2)</f>
        <v>34.57</v>
      </c>
      <c r="U11" s="59">
        <f>ROUND(A!W11/2,2)</f>
        <v>34.57</v>
      </c>
    </row>
    <row r="12" spans="1:21" ht="15.75" hidden="1" customHeight="1" outlineLevel="1" thickBot="1">
      <c r="A12" s="54">
        <f t="shared" si="1"/>
        <v>4</v>
      </c>
      <c r="C12" s="59">
        <f>ROUND(A!C12/2,2)</f>
        <v>34.119999999999997</v>
      </c>
      <c r="D12" s="59">
        <f>ROUND(A!D12/2,2)</f>
        <v>34.119999999999997</v>
      </c>
      <c r="E12" s="59">
        <f>ROUND(A!E12/2,2)</f>
        <v>34.119999999999997</v>
      </c>
      <c r="G12" s="59">
        <f>ROUND(A!G12/2,2)</f>
        <v>34.119999999999997</v>
      </c>
      <c r="H12" s="59">
        <f>ROUND(A!H12/2,2)</f>
        <v>34.119999999999997</v>
      </c>
      <c r="I12" s="59">
        <f>ROUND(A!I12/2,2)</f>
        <v>34.119999999999997</v>
      </c>
      <c r="J12" s="59">
        <f>ROUND(A!J12/2,2)</f>
        <v>34.119999999999997</v>
      </c>
      <c r="K12" s="59">
        <f>ROUND(A!K12/2,2)</f>
        <v>34.119999999999997</v>
      </c>
      <c r="M12" s="59">
        <f>ROUND(A!N12/2,2)</f>
        <v>34.119999999999997</v>
      </c>
      <c r="O12" s="59">
        <f>ROUND(A!P12/2,2)</f>
        <v>34.57</v>
      </c>
      <c r="P12" s="59">
        <f>ROUND(A!Q12/2,2)</f>
        <v>34.57</v>
      </c>
      <c r="Q12" s="59">
        <f>ROUND(A!R12/2,2)</f>
        <v>34.57</v>
      </c>
      <c r="R12" s="59">
        <f>ROUND(A!S12/2,2)</f>
        <v>34.57</v>
      </c>
      <c r="S12" s="59">
        <f>ROUND(A!T12/2,2)</f>
        <v>34.57</v>
      </c>
      <c r="U12" s="59">
        <f>ROUND(A!W12/2,2)</f>
        <v>34.57</v>
      </c>
    </row>
    <row r="13" spans="1:21" ht="15.75" hidden="1" customHeight="1" outlineLevel="1" thickBot="1">
      <c r="A13" s="54">
        <f t="shared" si="1"/>
        <v>5</v>
      </c>
      <c r="C13" s="59">
        <f>ROUND(A!C13/2,2)</f>
        <v>34.119999999999997</v>
      </c>
      <c r="D13" s="59">
        <f>ROUND(A!D13/2,2)</f>
        <v>34.119999999999997</v>
      </c>
      <c r="E13" s="59">
        <f>ROUND(A!E13/2,2)</f>
        <v>34.119999999999997</v>
      </c>
      <c r="G13" s="59">
        <f>ROUND(A!G13/2,2)</f>
        <v>34.119999999999997</v>
      </c>
      <c r="H13" s="59">
        <f>ROUND(A!H13/2,2)</f>
        <v>34.119999999999997</v>
      </c>
      <c r="I13" s="59">
        <f>ROUND(A!I13/2,2)</f>
        <v>34.119999999999997</v>
      </c>
      <c r="J13" s="59">
        <f>ROUND(A!J13/2,2)</f>
        <v>34.119999999999997</v>
      </c>
      <c r="K13" s="59">
        <f>ROUND(A!K13/2,2)</f>
        <v>34.119999999999997</v>
      </c>
      <c r="M13" s="59">
        <f>ROUND(A!N13/2,2)</f>
        <v>34.119999999999997</v>
      </c>
      <c r="O13" s="59">
        <f>ROUND(A!P13/2,2)</f>
        <v>34.57</v>
      </c>
      <c r="P13" s="59">
        <f>ROUND(A!Q13/2,2)</f>
        <v>34.57</v>
      </c>
      <c r="Q13" s="59">
        <f>ROUND(A!R13/2,2)</f>
        <v>34.57</v>
      </c>
      <c r="R13" s="59">
        <f>ROUND(A!S13/2,2)</f>
        <v>34.57</v>
      </c>
      <c r="S13" s="59">
        <f>ROUND(A!T13/2,2)</f>
        <v>34.57</v>
      </c>
      <c r="U13" s="59">
        <f>ROUND(A!W13/2,2)</f>
        <v>34.57</v>
      </c>
    </row>
    <row r="14" spans="1:21" ht="15.75" hidden="1" customHeight="1" outlineLevel="1" thickBot="1">
      <c r="A14" s="54">
        <f t="shared" si="1"/>
        <v>6</v>
      </c>
      <c r="C14" s="59">
        <f>ROUND(A!C14/2,2)</f>
        <v>34.119999999999997</v>
      </c>
      <c r="D14" s="59">
        <f>ROUND(A!D14/2,2)</f>
        <v>34.119999999999997</v>
      </c>
      <c r="E14" s="59">
        <f>ROUND(A!E14/2,2)</f>
        <v>34.119999999999997</v>
      </c>
      <c r="G14" s="59">
        <f>ROUND(A!G14/2,2)</f>
        <v>34.119999999999997</v>
      </c>
      <c r="H14" s="59">
        <f>ROUND(A!H14/2,2)</f>
        <v>34.119999999999997</v>
      </c>
      <c r="I14" s="59">
        <f>ROUND(A!I14/2,2)</f>
        <v>34.119999999999997</v>
      </c>
      <c r="J14" s="59">
        <f>ROUND(A!J14/2,2)</f>
        <v>34.119999999999997</v>
      </c>
      <c r="K14" s="59">
        <f>ROUND(A!K14/2,2)</f>
        <v>34.119999999999997</v>
      </c>
      <c r="M14" s="59">
        <f>ROUND(A!N14/2,2)</f>
        <v>34.119999999999997</v>
      </c>
      <c r="O14" s="59">
        <f>ROUND(A!P14/2,2)</f>
        <v>34.57</v>
      </c>
      <c r="P14" s="59">
        <f>ROUND(A!Q14/2,2)</f>
        <v>34.57</v>
      </c>
      <c r="Q14" s="59">
        <f>ROUND(A!R14/2,2)</f>
        <v>34.57</v>
      </c>
      <c r="R14" s="59">
        <f>ROUND(A!S14/2,2)</f>
        <v>34.57</v>
      </c>
      <c r="S14" s="59">
        <f>ROUND(A!T14/2,2)</f>
        <v>34.57</v>
      </c>
      <c r="U14" s="59">
        <f>ROUND(A!W14/2,2)</f>
        <v>34.57</v>
      </c>
    </row>
    <row r="15" spans="1:21" ht="15.75" hidden="1" customHeight="1" outlineLevel="1" thickBot="1">
      <c r="A15" s="54">
        <f t="shared" si="1"/>
        <v>7</v>
      </c>
      <c r="C15" s="59">
        <f>ROUND(A!C15/2,2)</f>
        <v>34.119999999999997</v>
      </c>
      <c r="D15" s="59">
        <f>ROUND(A!D15/2,2)</f>
        <v>34.119999999999997</v>
      </c>
      <c r="E15" s="59">
        <f>ROUND(A!E15/2,2)</f>
        <v>34.119999999999997</v>
      </c>
      <c r="G15" s="59">
        <f>ROUND(A!G15/2,2)</f>
        <v>34.119999999999997</v>
      </c>
      <c r="H15" s="59">
        <f>ROUND(A!H15/2,2)</f>
        <v>34.119999999999997</v>
      </c>
      <c r="I15" s="59">
        <f>ROUND(A!I15/2,2)</f>
        <v>34.119999999999997</v>
      </c>
      <c r="J15" s="59">
        <f>ROUND(A!J15/2,2)</f>
        <v>34.119999999999997</v>
      </c>
      <c r="K15" s="59">
        <f>ROUND(A!K15/2,2)</f>
        <v>34.119999999999997</v>
      </c>
      <c r="M15" s="59">
        <f>ROUND(A!N15/2,2)</f>
        <v>34.119999999999997</v>
      </c>
      <c r="O15" s="59">
        <f>ROUND(A!P15/2,2)</f>
        <v>34.57</v>
      </c>
      <c r="P15" s="59">
        <f>ROUND(A!Q15/2,2)</f>
        <v>34.57</v>
      </c>
      <c r="Q15" s="59">
        <f>ROUND(A!R15/2,2)</f>
        <v>34.57</v>
      </c>
      <c r="R15" s="59">
        <f>ROUND(A!S15/2,2)</f>
        <v>34.57</v>
      </c>
      <c r="S15" s="59">
        <f>ROUND(A!T15/2,2)</f>
        <v>34.57</v>
      </c>
      <c r="U15" s="59">
        <f>ROUND(A!W15/2,2)</f>
        <v>34.57</v>
      </c>
    </row>
    <row r="16" spans="1:21" ht="15.75" hidden="1" customHeight="1" outlineLevel="1" thickBot="1">
      <c r="A16" s="54">
        <f t="shared" si="1"/>
        <v>8</v>
      </c>
      <c r="C16" s="59">
        <f>ROUND(A!C16/2,2)</f>
        <v>34.119999999999997</v>
      </c>
      <c r="D16" s="59">
        <f>ROUND(A!D16/2,2)</f>
        <v>34.119999999999997</v>
      </c>
      <c r="E16" s="59">
        <f>ROUND(A!E16/2,2)</f>
        <v>34.119999999999997</v>
      </c>
      <c r="G16" s="59">
        <f>ROUND(A!G16/2,2)</f>
        <v>34.119999999999997</v>
      </c>
      <c r="H16" s="59">
        <f>ROUND(A!H16/2,2)</f>
        <v>34.119999999999997</v>
      </c>
      <c r="I16" s="59">
        <f>ROUND(A!I16/2,2)</f>
        <v>34.119999999999997</v>
      </c>
      <c r="J16" s="59">
        <f>ROUND(A!J16/2,2)</f>
        <v>34.119999999999997</v>
      </c>
      <c r="K16" s="59">
        <f>ROUND(A!K16/2,2)</f>
        <v>34.119999999999997</v>
      </c>
      <c r="M16" s="59">
        <f>ROUND(A!N16/2,2)</f>
        <v>34.119999999999997</v>
      </c>
      <c r="O16" s="59">
        <f>ROUND(A!P16/2,2)</f>
        <v>34.57</v>
      </c>
      <c r="P16" s="59">
        <f>ROUND(A!Q16/2,2)</f>
        <v>34.57</v>
      </c>
      <c r="Q16" s="59">
        <f>ROUND(A!R16/2,2)</f>
        <v>34.57</v>
      </c>
      <c r="R16" s="59">
        <f>ROUND(A!S16/2,2)</f>
        <v>34.57</v>
      </c>
      <c r="S16" s="59">
        <f>ROUND(A!T16/2,2)</f>
        <v>34.57</v>
      </c>
      <c r="U16" s="59">
        <f>ROUND(A!W16/2,2)</f>
        <v>34.57</v>
      </c>
    </row>
    <row r="17" spans="1:21" ht="15.75" hidden="1" customHeight="1" outlineLevel="1" thickBot="1">
      <c r="A17" s="54">
        <f t="shared" si="1"/>
        <v>9</v>
      </c>
      <c r="C17" s="59">
        <f>ROUND(A!C17/2,2)</f>
        <v>34.119999999999997</v>
      </c>
      <c r="D17" s="59">
        <f>ROUND(A!D17/2,2)</f>
        <v>34.119999999999997</v>
      </c>
      <c r="E17" s="59">
        <f>ROUND(A!E17/2,2)</f>
        <v>34.119999999999997</v>
      </c>
      <c r="G17" s="59">
        <f>ROUND(A!G17/2,2)</f>
        <v>34.119999999999997</v>
      </c>
      <c r="H17" s="59">
        <f>ROUND(A!H17/2,2)</f>
        <v>34.119999999999997</v>
      </c>
      <c r="I17" s="59">
        <f>ROUND(A!I17/2,2)</f>
        <v>34.119999999999997</v>
      </c>
      <c r="J17" s="59">
        <f>ROUND(A!J17/2,2)</f>
        <v>34.119999999999997</v>
      </c>
      <c r="K17" s="59">
        <f>ROUND(A!K17/2,2)</f>
        <v>34.119999999999997</v>
      </c>
      <c r="M17" s="59">
        <f>ROUND(A!N17/2,2)</f>
        <v>34.119999999999997</v>
      </c>
      <c r="O17" s="59">
        <f>ROUND(A!P17/2,2)</f>
        <v>34.57</v>
      </c>
      <c r="P17" s="59">
        <f>ROUND(A!Q17/2,2)</f>
        <v>34.57</v>
      </c>
      <c r="Q17" s="59">
        <f>ROUND(A!R17/2,2)</f>
        <v>34.57</v>
      </c>
      <c r="R17" s="59">
        <f>ROUND(A!S17/2,2)</f>
        <v>34.57</v>
      </c>
      <c r="S17" s="59">
        <f>ROUND(A!T17/2,2)</f>
        <v>34.57</v>
      </c>
      <c r="U17" s="59">
        <f>ROUND(A!W17/2,2)</f>
        <v>34.57</v>
      </c>
    </row>
    <row r="18" spans="1:21" ht="15.75" hidden="1" customHeight="1" outlineLevel="1" thickBot="1">
      <c r="A18" s="54">
        <f t="shared" si="1"/>
        <v>10</v>
      </c>
      <c r="C18" s="59">
        <f>ROUND(A!C18/2,2)</f>
        <v>34.119999999999997</v>
      </c>
      <c r="D18" s="59">
        <f>ROUND(A!D18/2,2)</f>
        <v>34.119999999999997</v>
      </c>
      <c r="E18" s="59">
        <f>ROUND(A!E18/2,2)</f>
        <v>34.119999999999997</v>
      </c>
      <c r="G18" s="59">
        <f>ROUND(A!G18/2,2)</f>
        <v>34.119999999999997</v>
      </c>
      <c r="H18" s="59">
        <f>ROUND(A!H18/2,2)</f>
        <v>34.119999999999997</v>
      </c>
      <c r="I18" s="59">
        <f>ROUND(A!I18/2,2)</f>
        <v>34.119999999999997</v>
      </c>
      <c r="J18" s="59">
        <f>ROUND(A!J18/2,2)</f>
        <v>34.119999999999997</v>
      </c>
      <c r="K18" s="59">
        <f>ROUND(A!K18/2,2)</f>
        <v>34.119999999999997</v>
      </c>
      <c r="M18" s="59">
        <f>ROUND(A!N18/2,2)</f>
        <v>34.119999999999997</v>
      </c>
      <c r="O18" s="59">
        <f>ROUND(A!P18/2,2)</f>
        <v>34.57</v>
      </c>
      <c r="P18" s="59">
        <f>ROUND(A!Q18/2,2)</f>
        <v>34.57</v>
      </c>
      <c r="Q18" s="59">
        <f>ROUND(A!R18/2,2)</f>
        <v>34.57</v>
      </c>
      <c r="R18" s="59">
        <f>ROUND(A!S18/2,2)</f>
        <v>34.57</v>
      </c>
      <c r="S18" s="59">
        <f>ROUND(A!T18/2,2)</f>
        <v>34.57</v>
      </c>
      <c r="U18" s="59">
        <f>ROUND(A!W18/2,2)</f>
        <v>34.57</v>
      </c>
    </row>
    <row r="19" spans="1:21" ht="15.75" hidden="1" customHeight="1" outlineLevel="1" thickBot="1">
      <c r="A19" s="54">
        <f t="shared" si="1"/>
        <v>11</v>
      </c>
      <c r="C19" s="59">
        <f>ROUND(A!C19/2,2)</f>
        <v>34.119999999999997</v>
      </c>
      <c r="D19" s="59">
        <f>ROUND(A!D19/2,2)</f>
        <v>34.119999999999997</v>
      </c>
      <c r="E19" s="59">
        <f>ROUND(A!E19/2,2)</f>
        <v>34.119999999999997</v>
      </c>
      <c r="G19" s="59">
        <f>ROUND(A!G19/2,2)</f>
        <v>34.119999999999997</v>
      </c>
      <c r="H19" s="59">
        <f>ROUND(A!H19/2,2)</f>
        <v>34.119999999999997</v>
      </c>
      <c r="I19" s="59">
        <f>ROUND(A!I19/2,2)</f>
        <v>34.119999999999997</v>
      </c>
      <c r="J19" s="59">
        <f>ROUND(A!J19/2,2)</f>
        <v>34.119999999999997</v>
      </c>
      <c r="K19" s="59">
        <f>ROUND(A!K19/2,2)</f>
        <v>34.119999999999997</v>
      </c>
      <c r="M19" s="59">
        <f>ROUND(A!N19/2,2)</f>
        <v>34.119999999999997</v>
      </c>
      <c r="O19" s="59">
        <f>ROUND(A!P19/2,2)</f>
        <v>34.57</v>
      </c>
      <c r="P19" s="59">
        <f>ROUND(A!Q19/2,2)</f>
        <v>34.57</v>
      </c>
      <c r="Q19" s="59">
        <f>ROUND(A!R19/2,2)</f>
        <v>34.57</v>
      </c>
      <c r="R19" s="59">
        <f>ROUND(A!S19/2,2)</f>
        <v>34.57</v>
      </c>
      <c r="S19" s="59">
        <f>ROUND(A!T19/2,2)</f>
        <v>34.57</v>
      </c>
      <c r="U19" s="59">
        <f>ROUND(A!W19/2,2)</f>
        <v>34.57</v>
      </c>
    </row>
    <row r="20" spans="1:21" ht="15.75" hidden="1" customHeight="1" outlineLevel="1" thickBot="1">
      <c r="A20" s="54">
        <f t="shared" si="1"/>
        <v>12</v>
      </c>
      <c r="C20" s="59">
        <f>ROUND(A!C20/2,2)</f>
        <v>34.119999999999997</v>
      </c>
      <c r="D20" s="59">
        <f>ROUND(A!D20/2,2)</f>
        <v>34.119999999999997</v>
      </c>
      <c r="E20" s="59">
        <f>ROUND(A!E20/2,2)</f>
        <v>34.119999999999997</v>
      </c>
      <c r="G20" s="59">
        <f>ROUND(A!G20/2,2)</f>
        <v>34.119999999999997</v>
      </c>
      <c r="H20" s="59">
        <f>ROUND(A!H20/2,2)</f>
        <v>34.119999999999997</v>
      </c>
      <c r="I20" s="59">
        <f>ROUND(A!I20/2,2)</f>
        <v>34.119999999999997</v>
      </c>
      <c r="J20" s="59">
        <f>ROUND(A!J20/2,2)</f>
        <v>34.119999999999997</v>
      </c>
      <c r="K20" s="59">
        <f>ROUND(A!K20/2,2)</f>
        <v>34.119999999999997</v>
      </c>
      <c r="M20" s="59">
        <f>ROUND(A!N20/2,2)</f>
        <v>34.119999999999997</v>
      </c>
      <c r="O20" s="59">
        <f>ROUND(A!P20/2,2)</f>
        <v>34.57</v>
      </c>
      <c r="P20" s="59">
        <f>ROUND(A!Q20/2,2)</f>
        <v>34.57</v>
      </c>
      <c r="Q20" s="59">
        <f>ROUND(A!R20/2,2)</f>
        <v>34.57</v>
      </c>
      <c r="R20" s="59">
        <f>ROUND(A!S20/2,2)</f>
        <v>34.57</v>
      </c>
      <c r="S20" s="59">
        <f>ROUND(A!T20/2,2)</f>
        <v>34.57</v>
      </c>
      <c r="U20" s="59">
        <f>ROUND(A!W20/2,2)</f>
        <v>34.57</v>
      </c>
    </row>
    <row r="21" spans="1:21" ht="15.75" hidden="1" customHeight="1" outlineLevel="1" thickBot="1">
      <c r="A21" s="54">
        <f t="shared" si="1"/>
        <v>13</v>
      </c>
      <c r="C21" s="59">
        <f>ROUND(A!C21/2,2)</f>
        <v>34.119999999999997</v>
      </c>
      <c r="D21" s="59">
        <f>ROUND(A!D21/2,2)</f>
        <v>34.119999999999997</v>
      </c>
      <c r="E21" s="59">
        <f>ROUND(A!E21/2,2)</f>
        <v>34.119999999999997</v>
      </c>
      <c r="G21" s="59">
        <f>ROUND(A!G21/2,2)</f>
        <v>34.119999999999997</v>
      </c>
      <c r="H21" s="59">
        <f>ROUND(A!H21/2,2)</f>
        <v>34.119999999999997</v>
      </c>
      <c r="I21" s="59">
        <f>ROUND(A!I21/2,2)</f>
        <v>34.119999999999997</v>
      </c>
      <c r="J21" s="59">
        <f>ROUND(A!J21/2,2)</f>
        <v>34.119999999999997</v>
      </c>
      <c r="K21" s="59">
        <f>ROUND(A!K21/2,2)</f>
        <v>34.119999999999997</v>
      </c>
      <c r="M21" s="59">
        <f>ROUND(A!N21/2,2)</f>
        <v>34.119999999999997</v>
      </c>
      <c r="O21" s="59">
        <f>ROUND(A!P21/2,2)</f>
        <v>34.57</v>
      </c>
      <c r="P21" s="59">
        <f>ROUND(A!Q21/2,2)</f>
        <v>34.57</v>
      </c>
      <c r="Q21" s="59">
        <f>ROUND(A!R21/2,2)</f>
        <v>34.57</v>
      </c>
      <c r="R21" s="59">
        <f>ROUND(A!S21/2,2)</f>
        <v>34.57</v>
      </c>
      <c r="S21" s="59">
        <f>ROUND(A!T21/2,2)</f>
        <v>34.57</v>
      </c>
      <c r="U21" s="59">
        <f>ROUND(A!W21/2,2)</f>
        <v>34.57</v>
      </c>
    </row>
    <row r="22" spans="1:21" ht="15.75" hidden="1" customHeight="1" outlineLevel="1" thickBot="1">
      <c r="A22" s="54">
        <f t="shared" si="1"/>
        <v>14</v>
      </c>
      <c r="C22" s="59">
        <f>ROUND(A!C22/2,2)</f>
        <v>34.119999999999997</v>
      </c>
      <c r="D22" s="59">
        <f>ROUND(A!D22/2,2)</f>
        <v>34.119999999999997</v>
      </c>
      <c r="E22" s="59">
        <f>ROUND(A!E22/2,2)</f>
        <v>34.119999999999997</v>
      </c>
      <c r="G22" s="59">
        <f>ROUND(A!G22/2,2)</f>
        <v>34.119999999999997</v>
      </c>
      <c r="H22" s="59">
        <f>ROUND(A!H22/2,2)</f>
        <v>34.119999999999997</v>
      </c>
      <c r="I22" s="59">
        <f>ROUND(A!I22/2,2)</f>
        <v>34.119999999999997</v>
      </c>
      <c r="J22" s="59">
        <f>ROUND(A!J22/2,2)</f>
        <v>34.119999999999997</v>
      </c>
      <c r="K22" s="59">
        <f>ROUND(A!K22/2,2)</f>
        <v>34.119999999999997</v>
      </c>
      <c r="M22" s="59">
        <f>ROUND(A!N22/2,2)</f>
        <v>34.119999999999997</v>
      </c>
      <c r="O22" s="59">
        <f>ROUND(A!P22/2,2)</f>
        <v>34.57</v>
      </c>
      <c r="P22" s="59">
        <f>ROUND(A!Q22/2,2)</f>
        <v>34.57</v>
      </c>
      <c r="Q22" s="59">
        <f>ROUND(A!R22/2,2)</f>
        <v>34.57</v>
      </c>
      <c r="R22" s="59">
        <f>ROUND(A!S22/2,2)</f>
        <v>34.57</v>
      </c>
      <c r="S22" s="59">
        <f>ROUND(A!T22/2,2)</f>
        <v>34.57</v>
      </c>
      <c r="U22" s="59">
        <f>ROUND(A!W22/2,2)</f>
        <v>34.57</v>
      </c>
    </row>
    <row r="23" spans="1:21" ht="15.75" hidden="1" customHeight="1" outlineLevel="1" thickBot="1">
      <c r="A23" s="54">
        <f t="shared" si="1"/>
        <v>15</v>
      </c>
      <c r="C23" s="59">
        <f>ROUND(A!C23/2,2)</f>
        <v>34.119999999999997</v>
      </c>
      <c r="D23" s="59">
        <f>ROUND(A!D23/2,2)</f>
        <v>34.119999999999997</v>
      </c>
      <c r="E23" s="59">
        <f>ROUND(A!E23/2,2)</f>
        <v>34.119999999999997</v>
      </c>
      <c r="G23" s="59">
        <f>ROUND(A!G23/2,2)</f>
        <v>34.119999999999997</v>
      </c>
      <c r="H23" s="59">
        <f>ROUND(A!H23/2,2)</f>
        <v>34.119999999999997</v>
      </c>
      <c r="I23" s="59">
        <f>ROUND(A!I23/2,2)</f>
        <v>34.119999999999997</v>
      </c>
      <c r="J23" s="59">
        <f>ROUND(A!J23/2,2)</f>
        <v>34.119999999999997</v>
      </c>
      <c r="K23" s="59">
        <f>ROUND(A!K23/2,2)</f>
        <v>34.119999999999997</v>
      </c>
      <c r="M23" s="59">
        <f>ROUND(A!N23/2,2)</f>
        <v>34.119999999999997</v>
      </c>
      <c r="O23" s="59">
        <f>ROUND(A!P23/2,2)</f>
        <v>34.57</v>
      </c>
      <c r="P23" s="59">
        <f>ROUND(A!Q23/2,2)</f>
        <v>34.57</v>
      </c>
      <c r="Q23" s="59">
        <f>ROUND(A!R23/2,2)</f>
        <v>34.57</v>
      </c>
      <c r="R23" s="59">
        <f>ROUND(A!S23/2,2)</f>
        <v>34.57</v>
      </c>
      <c r="S23" s="59">
        <f>ROUND(A!T23/2,2)</f>
        <v>34.57</v>
      </c>
      <c r="U23" s="59">
        <f>ROUND(A!W23/2,2)</f>
        <v>34.57</v>
      </c>
    </row>
    <row r="24" spans="1:21" ht="15.75" hidden="1" customHeight="1" outlineLevel="1" thickBot="1">
      <c r="A24" s="54">
        <f t="shared" si="1"/>
        <v>16</v>
      </c>
      <c r="C24" s="59">
        <f>ROUND(A!C24/2,2)</f>
        <v>34.119999999999997</v>
      </c>
      <c r="D24" s="59">
        <f>ROUND(A!D24/2,2)</f>
        <v>34.119999999999997</v>
      </c>
      <c r="E24" s="59">
        <f>ROUND(A!E24/2,2)</f>
        <v>34.119999999999997</v>
      </c>
      <c r="G24" s="59">
        <f>ROUND(A!G24/2,2)</f>
        <v>34.119999999999997</v>
      </c>
      <c r="H24" s="59">
        <f>ROUND(A!H24/2,2)</f>
        <v>34.119999999999997</v>
      </c>
      <c r="I24" s="59">
        <f>ROUND(A!I24/2,2)</f>
        <v>34.119999999999997</v>
      </c>
      <c r="J24" s="59">
        <f>ROUND(A!J24/2,2)</f>
        <v>34.119999999999997</v>
      </c>
      <c r="K24" s="59">
        <f>ROUND(A!K24/2,2)</f>
        <v>34.119999999999997</v>
      </c>
      <c r="M24" s="59">
        <f>ROUND(A!N24/2,2)</f>
        <v>34.119999999999997</v>
      </c>
      <c r="O24" s="59">
        <f>ROUND(A!P24/2,2)</f>
        <v>34.57</v>
      </c>
      <c r="P24" s="59">
        <f>ROUND(A!Q24/2,2)</f>
        <v>34.57</v>
      </c>
      <c r="Q24" s="59">
        <f>ROUND(A!R24/2,2)</f>
        <v>34.57</v>
      </c>
      <c r="R24" s="59">
        <f>ROUND(A!S24/2,2)</f>
        <v>34.57</v>
      </c>
      <c r="S24" s="59">
        <f>ROUND(A!T24/2,2)</f>
        <v>34.57</v>
      </c>
      <c r="U24" s="59">
        <f>ROUND(A!W24/2,2)</f>
        <v>34.57</v>
      </c>
    </row>
    <row r="25" spans="1:21" ht="15.75" hidden="1" customHeight="1" outlineLevel="1" thickBot="1">
      <c r="A25" s="54">
        <f t="shared" si="1"/>
        <v>17</v>
      </c>
      <c r="C25" s="59">
        <f>ROUND(A!C25/2,2)</f>
        <v>34.119999999999997</v>
      </c>
      <c r="D25" s="59">
        <f>ROUND(A!D25/2,2)</f>
        <v>34.119999999999997</v>
      </c>
      <c r="E25" s="59">
        <f>ROUND(A!E25/2,2)</f>
        <v>34.119999999999997</v>
      </c>
      <c r="G25" s="59">
        <f>ROUND(A!G25/2,2)</f>
        <v>34.119999999999997</v>
      </c>
      <c r="H25" s="59">
        <f>ROUND(A!H25/2,2)</f>
        <v>34.119999999999997</v>
      </c>
      <c r="I25" s="59">
        <f>ROUND(A!I25/2,2)</f>
        <v>34.119999999999997</v>
      </c>
      <c r="J25" s="59">
        <f>ROUND(A!J25/2,2)</f>
        <v>34.119999999999997</v>
      </c>
      <c r="K25" s="59">
        <f>ROUND(A!K25/2,2)</f>
        <v>34.119999999999997</v>
      </c>
      <c r="M25" s="59">
        <f>ROUND(A!N25/2,2)</f>
        <v>34.119999999999997</v>
      </c>
      <c r="O25" s="59">
        <f>ROUND(A!P25/2,2)</f>
        <v>34.57</v>
      </c>
      <c r="P25" s="59">
        <f>ROUND(A!Q25/2,2)</f>
        <v>34.57</v>
      </c>
      <c r="Q25" s="59">
        <f>ROUND(A!R25/2,2)</f>
        <v>34.57</v>
      </c>
      <c r="R25" s="59">
        <f>ROUND(A!S25/2,2)</f>
        <v>34.57</v>
      </c>
      <c r="S25" s="59">
        <f>ROUND(A!T25/2,2)</f>
        <v>34.57</v>
      </c>
      <c r="U25" s="59">
        <f>ROUND(A!W25/2,2)</f>
        <v>34.57</v>
      </c>
    </row>
    <row r="26" spans="1:21" ht="15.75" hidden="1" customHeight="1" outlineLevel="1" thickBot="1">
      <c r="A26" s="54">
        <f t="shared" si="1"/>
        <v>18</v>
      </c>
      <c r="C26" s="59">
        <f>ROUND(A!C26/2,2)</f>
        <v>34.119999999999997</v>
      </c>
      <c r="D26" s="59">
        <f>ROUND(A!D26/2,2)</f>
        <v>34.119999999999997</v>
      </c>
      <c r="E26" s="59">
        <f>ROUND(A!E26/2,2)</f>
        <v>34.119999999999997</v>
      </c>
      <c r="G26" s="59">
        <f>ROUND(A!G26/2,2)</f>
        <v>34.119999999999997</v>
      </c>
      <c r="H26" s="59">
        <f>ROUND(A!H26/2,2)</f>
        <v>34.119999999999997</v>
      </c>
      <c r="I26" s="59">
        <f>ROUND(A!I26/2,2)</f>
        <v>34.119999999999997</v>
      </c>
      <c r="J26" s="59">
        <f>ROUND(A!J26/2,2)</f>
        <v>34.119999999999997</v>
      </c>
      <c r="K26" s="59">
        <f>ROUND(A!K26/2,2)</f>
        <v>34.119999999999997</v>
      </c>
      <c r="M26" s="59">
        <f>ROUND(A!N26/2,2)</f>
        <v>34.119999999999997</v>
      </c>
      <c r="O26" s="59">
        <f>ROUND(A!P26/2,2)</f>
        <v>34.57</v>
      </c>
      <c r="P26" s="59">
        <f>ROUND(A!Q26/2,2)</f>
        <v>34.57</v>
      </c>
      <c r="Q26" s="59">
        <f>ROUND(A!R26/2,2)</f>
        <v>34.57</v>
      </c>
      <c r="R26" s="59">
        <f>ROUND(A!S26/2,2)</f>
        <v>34.57</v>
      </c>
      <c r="S26" s="59">
        <f>ROUND(A!T26/2,2)</f>
        <v>34.57</v>
      </c>
      <c r="U26" s="59">
        <f>ROUND(A!W26/2,2)</f>
        <v>34.57</v>
      </c>
    </row>
    <row r="27" spans="1:21" ht="15.75" hidden="1" customHeight="1" outlineLevel="1" thickBot="1">
      <c r="A27" s="54">
        <f t="shared" si="1"/>
        <v>19</v>
      </c>
      <c r="C27" s="59">
        <f>ROUND(A!C27/2,2)</f>
        <v>34.119999999999997</v>
      </c>
      <c r="D27" s="59">
        <f>ROUND(A!D27/2,2)</f>
        <v>34.119999999999997</v>
      </c>
      <c r="E27" s="59">
        <f>ROUND(A!E27/2,2)</f>
        <v>34.119999999999997</v>
      </c>
      <c r="G27" s="59">
        <f>ROUND(A!G27/2,2)</f>
        <v>34.119999999999997</v>
      </c>
      <c r="H27" s="59">
        <f>ROUND(A!H27/2,2)</f>
        <v>34.119999999999997</v>
      </c>
      <c r="I27" s="59">
        <f>ROUND(A!I27/2,2)</f>
        <v>34.119999999999997</v>
      </c>
      <c r="J27" s="59">
        <f>ROUND(A!J27/2,2)</f>
        <v>34.119999999999997</v>
      </c>
      <c r="K27" s="59">
        <f>ROUND(A!K27/2,2)</f>
        <v>34.119999999999997</v>
      </c>
      <c r="M27" s="59">
        <f>ROUND(A!N27/2,2)</f>
        <v>34.119999999999997</v>
      </c>
      <c r="O27" s="59">
        <f>ROUND(A!P27/2,2)</f>
        <v>34.57</v>
      </c>
      <c r="P27" s="59">
        <f>ROUND(A!Q27/2,2)</f>
        <v>34.57</v>
      </c>
      <c r="Q27" s="59">
        <f>ROUND(A!R27/2,2)</f>
        <v>34.57</v>
      </c>
      <c r="R27" s="59">
        <f>ROUND(A!S27/2,2)</f>
        <v>34.57</v>
      </c>
      <c r="S27" s="59">
        <f>ROUND(A!T27/2,2)</f>
        <v>34.57</v>
      </c>
      <c r="U27" s="59">
        <f>ROUND(A!W27/2,2)</f>
        <v>34.57</v>
      </c>
    </row>
    <row r="28" spans="1:21" ht="15.75" hidden="1" customHeight="1" outlineLevel="1" thickBot="1">
      <c r="A28" s="54">
        <f t="shared" si="1"/>
        <v>20</v>
      </c>
      <c r="C28" s="59">
        <f>ROUND(A!C28/2,2)</f>
        <v>34.119999999999997</v>
      </c>
      <c r="D28" s="59">
        <f>ROUND(A!D28/2,2)</f>
        <v>34.119999999999997</v>
      </c>
      <c r="E28" s="59">
        <f>ROUND(A!E28/2,2)</f>
        <v>34.119999999999997</v>
      </c>
      <c r="G28" s="59">
        <f>ROUND(A!G28/2,2)</f>
        <v>34.119999999999997</v>
      </c>
      <c r="H28" s="59">
        <f>ROUND(A!H28/2,2)</f>
        <v>34.119999999999997</v>
      </c>
      <c r="I28" s="59">
        <f>ROUND(A!I28/2,2)</f>
        <v>34.119999999999997</v>
      </c>
      <c r="J28" s="59">
        <f>ROUND(A!J28/2,2)</f>
        <v>34.119999999999997</v>
      </c>
      <c r="K28" s="59">
        <f>ROUND(A!K28/2,2)</f>
        <v>34.119999999999997</v>
      </c>
      <c r="M28" s="59">
        <f>ROUND(A!N28/2,2)</f>
        <v>34.119999999999997</v>
      </c>
      <c r="O28" s="59">
        <f>ROUND(A!P28/2,2)</f>
        <v>34.57</v>
      </c>
      <c r="P28" s="59">
        <f>ROUND(A!Q28/2,2)</f>
        <v>34.57</v>
      </c>
      <c r="Q28" s="59">
        <f>ROUND(A!R28/2,2)</f>
        <v>34.57</v>
      </c>
      <c r="R28" s="59">
        <f>ROUND(A!S28/2,2)</f>
        <v>34.57</v>
      </c>
      <c r="S28" s="59">
        <f>ROUND(A!T28/2,2)</f>
        <v>34.57</v>
      </c>
      <c r="U28" s="59">
        <f>ROUND(A!W28/2,2)</f>
        <v>34.57</v>
      </c>
    </row>
    <row r="29" spans="1:21" ht="15.75" hidden="1" customHeight="1" outlineLevel="1" thickBot="1">
      <c r="A29" s="54">
        <f t="shared" si="1"/>
        <v>21</v>
      </c>
      <c r="C29" s="59">
        <f>ROUND(A!C29/2,2)</f>
        <v>34.119999999999997</v>
      </c>
      <c r="D29" s="59">
        <f>ROUND(A!D29/2,2)</f>
        <v>34.119999999999997</v>
      </c>
      <c r="E29" s="59">
        <f>ROUND(A!E29/2,2)</f>
        <v>34.119999999999997</v>
      </c>
      <c r="G29" s="59">
        <f>ROUND(A!G29/2,2)</f>
        <v>34.119999999999997</v>
      </c>
      <c r="H29" s="59">
        <f>ROUND(A!H29/2,2)</f>
        <v>34.119999999999997</v>
      </c>
      <c r="I29" s="59">
        <f>ROUND(A!I29/2,2)</f>
        <v>34.119999999999997</v>
      </c>
      <c r="J29" s="59">
        <f>ROUND(A!J29/2,2)</f>
        <v>34.119999999999997</v>
      </c>
      <c r="K29" s="59">
        <f>ROUND(A!K29/2,2)</f>
        <v>34.119999999999997</v>
      </c>
      <c r="M29" s="59">
        <f>ROUND(A!N29/2,2)</f>
        <v>34.119999999999997</v>
      </c>
      <c r="O29" s="59">
        <f>ROUND(A!P29/2,2)</f>
        <v>34.57</v>
      </c>
      <c r="P29" s="59">
        <f>ROUND(A!Q29/2,2)</f>
        <v>34.57</v>
      </c>
      <c r="Q29" s="59">
        <f>ROUND(A!R29/2,2)</f>
        <v>34.57</v>
      </c>
      <c r="R29" s="59">
        <f>ROUND(A!S29/2,2)</f>
        <v>34.57</v>
      </c>
      <c r="S29" s="59">
        <f>ROUND(A!T29/2,2)</f>
        <v>34.57</v>
      </c>
      <c r="U29" s="59">
        <f>ROUND(A!W29/2,2)</f>
        <v>34.57</v>
      </c>
    </row>
    <row r="30" spans="1:21" ht="15.75" hidden="1" customHeight="1" outlineLevel="1" thickBot="1">
      <c r="A30" s="54">
        <f t="shared" si="1"/>
        <v>22</v>
      </c>
      <c r="C30" s="59">
        <f>ROUND(A!C30/2,2)</f>
        <v>34.119999999999997</v>
      </c>
      <c r="D30" s="59">
        <f>ROUND(A!D30/2,2)</f>
        <v>34.119999999999997</v>
      </c>
      <c r="E30" s="59">
        <f>ROUND(A!E30/2,2)</f>
        <v>34.119999999999997</v>
      </c>
      <c r="G30" s="59">
        <f>ROUND(A!G30/2,2)</f>
        <v>34.119999999999997</v>
      </c>
      <c r="H30" s="59">
        <f>ROUND(A!H30/2,2)</f>
        <v>34.119999999999997</v>
      </c>
      <c r="I30" s="59">
        <f>ROUND(A!I30/2,2)</f>
        <v>34.119999999999997</v>
      </c>
      <c r="J30" s="59">
        <f>ROUND(A!J30/2,2)</f>
        <v>34.119999999999997</v>
      </c>
      <c r="K30" s="59">
        <f>ROUND(A!K30/2,2)</f>
        <v>34.119999999999997</v>
      </c>
      <c r="M30" s="59">
        <f>ROUND(A!N30/2,2)</f>
        <v>34.119999999999997</v>
      </c>
      <c r="O30" s="59">
        <f>ROUND(A!P30/2,2)</f>
        <v>34.57</v>
      </c>
      <c r="P30" s="59">
        <f>ROUND(A!Q30/2,2)</f>
        <v>34.57</v>
      </c>
      <c r="Q30" s="59">
        <f>ROUND(A!R30/2,2)</f>
        <v>34.57</v>
      </c>
      <c r="R30" s="59">
        <f>ROUND(A!S30/2,2)</f>
        <v>34.57</v>
      </c>
      <c r="S30" s="59">
        <f>ROUND(A!T30/2,2)</f>
        <v>34.57</v>
      </c>
      <c r="U30" s="59">
        <f>ROUND(A!W30/2,2)</f>
        <v>34.57</v>
      </c>
    </row>
    <row r="31" spans="1:21" ht="15.75" hidden="1" customHeight="1" outlineLevel="1" thickBot="1">
      <c r="A31" s="54">
        <f t="shared" si="1"/>
        <v>23</v>
      </c>
      <c r="C31" s="59">
        <f>ROUND(A!C31/2,2)</f>
        <v>34.119999999999997</v>
      </c>
      <c r="D31" s="59">
        <f>ROUND(A!D31/2,2)</f>
        <v>34.119999999999997</v>
      </c>
      <c r="E31" s="59">
        <f>ROUND(A!E31/2,2)</f>
        <v>34.119999999999997</v>
      </c>
      <c r="G31" s="59">
        <f>ROUND(A!G31/2,2)</f>
        <v>34.119999999999997</v>
      </c>
      <c r="H31" s="59">
        <f>ROUND(A!H31/2,2)</f>
        <v>34.119999999999997</v>
      </c>
      <c r="I31" s="59">
        <f>ROUND(A!I31/2,2)</f>
        <v>34.119999999999997</v>
      </c>
      <c r="J31" s="59">
        <f>ROUND(A!J31/2,2)</f>
        <v>34.119999999999997</v>
      </c>
      <c r="K31" s="59">
        <f>ROUND(A!K31/2,2)</f>
        <v>34.119999999999997</v>
      </c>
      <c r="M31" s="59">
        <f>ROUND(A!N31/2,2)</f>
        <v>34.119999999999997</v>
      </c>
      <c r="O31" s="59">
        <f>ROUND(A!P31/2,2)</f>
        <v>34.57</v>
      </c>
      <c r="P31" s="59">
        <f>ROUND(A!Q31/2,2)</f>
        <v>34.57</v>
      </c>
      <c r="Q31" s="59">
        <f>ROUND(A!R31/2,2)</f>
        <v>34.57</v>
      </c>
      <c r="R31" s="59">
        <f>ROUND(A!S31/2,2)</f>
        <v>34.57</v>
      </c>
      <c r="S31" s="59">
        <f>ROUND(A!T31/2,2)</f>
        <v>34.57</v>
      </c>
      <c r="U31" s="59">
        <f>ROUND(A!W31/2,2)</f>
        <v>34.57</v>
      </c>
    </row>
    <row r="32" spans="1:21" ht="15.75" hidden="1" customHeight="1" outlineLevel="1" thickBot="1">
      <c r="A32" s="54">
        <f t="shared" si="1"/>
        <v>24</v>
      </c>
      <c r="C32" s="59">
        <f>ROUND(A!C32/2,2)</f>
        <v>34.119999999999997</v>
      </c>
      <c r="D32" s="59">
        <f>ROUND(A!D32/2,2)</f>
        <v>34.119999999999997</v>
      </c>
      <c r="E32" s="59">
        <f>ROUND(A!E32/2,2)</f>
        <v>34.119999999999997</v>
      </c>
      <c r="G32" s="59">
        <f>ROUND(A!G32/2,2)</f>
        <v>34.119999999999997</v>
      </c>
      <c r="H32" s="59">
        <f>ROUND(A!H32/2,2)</f>
        <v>34.119999999999997</v>
      </c>
      <c r="I32" s="59">
        <f>ROUND(A!I32/2,2)</f>
        <v>34.119999999999997</v>
      </c>
      <c r="J32" s="59">
        <f>ROUND(A!J32/2,2)</f>
        <v>34.119999999999997</v>
      </c>
      <c r="K32" s="59">
        <f>ROUND(A!K32/2,2)</f>
        <v>34.119999999999997</v>
      </c>
      <c r="M32" s="59">
        <f>ROUND(A!N32/2,2)</f>
        <v>34.119999999999997</v>
      </c>
      <c r="O32" s="59">
        <f>ROUND(A!P32/2,2)</f>
        <v>34.57</v>
      </c>
      <c r="P32" s="59">
        <f>ROUND(A!Q32/2,2)</f>
        <v>34.57</v>
      </c>
      <c r="Q32" s="59">
        <f>ROUND(A!R32/2,2)</f>
        <v>34.57</v>
      </c>
      <c r="R32" s="59">
        <f>ROUND(A!S32/2,2)</f>
        <v>34.57</v>
      </c>
      <c r="S32" s="59">
        <f>ROUND(A!T32/2,2)</f>
        <v>34.57</v>
      </c>
      <c r="U32" s="59">
        <f>ROUND(A!W32/2,2)</f>
        <v>34.57</v>
      </c>
    </row>
    <row r="33" spans="1:21" ht="15.75" hidden="1" customHeight="1" outlineLevel="1" thickBot="1">
      <c r="A33" s="54">
        <f t="shared" si="1"/>
        <v>25</v>
      </c>
      <c r="C33" s="59">
        <f>ROUND(A!C33/2,2)</f>
        <v>34.119999999999997</v>
      </c>
      <c r="D33" s="59">
        <f>ROUND(A!D33/2,2)</f>
        <v>34.119999999999997</v>
      </c>
      <c r="E33" s="59">
        <f>ROUND(A!E33/2,2)</f>
        <v>34.119999999999997</v>
      </c>
      <c r="G33" s="59">
        <f>ROUND(A!G33/2,2)</f>
        <v>34.119999999999997</v>
      </c>
      <c r="H33" s="59">
        <f>ROUND(A!H33/2,2)</f>
        <v>34.119999999999997</v>
      </c>
      <c r="I33" s="59">
        <f>ROUND(A!I33/2,2)</f>
        <v>34.119999999999997</v>
      </c>
      <c r="J33" s="59">
        <f>ROUND(A!J33/2,2)</f>
        <v>34.119999999999997</v>
      </c>
      <c r="K33" s="59">
        <f>ROUND(A!K33/2,2)</f>
        <v>34.119999999999997</v>
      </c>
      <c r="M33" s="59">
        <f>ROUND(A!N33/2,2)</f>
        <v>34.119999999999997</v>
      </c>
      <c r="O33" s="59">
        <f>ROUND(A!P33/2,2)</f>
        <v>34.57</v>
      </c>
      <c r="P33" s="59">
        <f>ROUND(A!Q33/2,2)</f>
        <v>34.57</v>
      </c>
      <c r="Q33" s="59">
        <f>ROUND(A!R33/2,2)</f>
        <v>34.57</v>
      </c>
      <c r="R33" s="59">
        <f>ROUND(A!S33/2,2)</f>
        <v>34.57</v>
      </c>
      <c r="S33" s="59">
        <f>ROUND(A!T33/2,2)</f>
        <v>34.57</v>
      </c>
      <c r="U33" s="59">
        <f>ROUND(A!W33/2,2)</f>
        <v>34.57</v>
      </c>
    </row>
    <row r="34" spans="1:21" ht="15.75" hidden="1" customHeight="1" outlineLevel="1" thickBot="1">
      <c r="A34" s="54">
        <f t="shared" si="1"/>
        <v>26</v>
      </c>
      <c r="C34" s="59">
        <f>ROUND(A!C34/2,2)</f>
        <v>34.119999999999997</v>
      </c>
      <c r="D34" s="59">
        <f>ROUND(A!D34/2,2)</f>
        <v>34.119999999999997</v>
      </c>
      <c r="E34" s="59">
        <f>ROUND(A!E34/2,2)</f>
        <v>34.119999999999997</v>
      </c>
      <c r="G34" s="59">
        <f>ROUND(A!G34/2,2)</f>
        <v>34.119999999999997</v>
      </c>
      <c r="H34" s="59">
        <f>ROUND(A!H34/2,2)</f>
        <v>34.119999999999997</v>
      </c>
      <c r="I34" s="59">
        <f>ROUND(A!I34/2,2)</f>
        <v>34.119999999999997</v>
      </c>
      <c r="J34" s="59">
        <f>ROUND(A!J34/2,2)</f>
        <v>34.119999999999997</v>
      </c>
      <c r="K34" s="59">
        <f>ROUND(A!K34/2,2)</f>
        <v>34.119999999999997</v>
      </c>
      <c r="M34" s="59">
        <f>ROUND(A!N34/2,2)</f>
        <v>34.119999999999997</v>
      </c>
      <c r="O34" s="59">
        <f>ROUND(A!P34/2,2)</f>
        <v>34.57</v>
      </c>
      <c r="P34" s="59">
        <f>ROUND(A!Q34/2,2)</f>
        <v>34.57</v>
      </c>
      <c r="Q34" s="59">
        <f>ROUND(A!R34/2,2)</f>
        <v>34.57</v>
      </c>
      <c r="R34" s="59">
        <f>ROUND(A!S34/2,2)</f>
        <v>34.57</v>
      </c>
      <c r="S34" s="59">
        <f>ROUND(A!T34/2,2)</f>
        <v>34.57</v>
      </c>
      <c r="U34" s="59">
        <f>ROUND(A!W34/2,2)</f>
        <v>34.57</v>
      </c>
    </row>
    <row r="35" spans="1:21" ht="15.75" hidden="1" customHeight="1" outlineLevel="1" thickBot="1">
      <c r="A35" s="54">
        <f t="shared" si="1"/>
        <v>27</v>
      </c>
      <c r="C35" s="59">
        <f>ROUND(A!C35/2,2)</f>
        <v>34.119999999999997</v>
      </c>
      <c r="D35" s="59">
        <f>ROUND(A!D35/2,2)</f>
        <v>34.119999999999997</v>
      </c>
      <c r="E35" s="59">
        <f>ROUND(A!E35/2,2)</f>
        <v>34.119999999999997</v>
      </c>
      <c r="G35" s="59">
        <f>ROUND(A!G35/2,2)</f>
        <v>34.119999999999997</v>
      </c>
      <c r="H35" s="59">
        <f>ROUND(A!H35/2,2)</f>
        <v>34.119999999999997</v>
      </c>
      <c r="I35" s="59">
        <f>ROUND(A!I35/2,2)</f>
        <v>34.119999999999997</v>
      </c>
      <c r="J35" s="59">
        <f>ROUND(A!J35/2,2)</f>
        <v>34.119999999999997</v>
      </c>
      <c r="K35" s="59">
        <f>ROUND(A!K35/2,2)</f>
        <v>34.119999999999997</v>
      </c>
      <c r="M35" s="59">
        <f>ROUND(A!N35/2,2)</f>
        <v>34.119999999999997</v>
      </c>
      <c r="O35" s="59">
        <f>ROUND(A!P35/2,2)</f>
        <v>34.57</v>
      </c>
      <c r="P35" s="59">
        <f>ROUND(A!Q35/2,2)</f>
        <v>34.57</v>
      </c>
      <c r="Q35" s="59">
        <f>ROUND(A!R35/2,2)</f>
        <v>34.57</v>
      </c>
      <c r="R35" s="59">
        <f>ROUND(A!S35/2,2)</f>
        <v>34.57</v>
      </c>
      <c r="S35" s="59">
        <f>ROUND(A!T35/2,2)</f>
        <v>34.57</v>
      </c>
      <c r="U35" s="59">
        <f>ROUND(A!W35/2,2)</f>
        <v>34.57</v>
      </c>
    </row>
    <row r="36" spans="1:21" ht="15.75" hidden="1" customHeight="1" outlineLevel="1" thickBot="1">
      <c r="A36" s="54">
        <f t="shared" si="1"/>
        <v>28</v>
      </c>
      <c r="C36" s="59">
        <f>ROUND(A!C36/2,2)</f>
        <v>34.119999999999997</v>
      </c>
      <c r="D36" s="59">
        <f>ROUND(A!D36/2,2)</f>
        <v>34.119999999999997</v>
      </c>
      <c r="E36" s="59">
        <f>ROUND(A!E36/2,2)</f>
        <v>34.119999999999997</v>
      </c>
      <c r="G36" s="59">
        <f>ROUND(A!G36/2,2)</f>
        <v>34.119999999999997</v>
      </c>
      <c r="H36" s="59">
        <f>ROUND(A!H36/2,2)</f>
        <v>34.119999999999997</v>
      </c>
      <c r="I36" s="59">
        <f>ROUND(A!I36/2,2)</f>
        <v>34.119999999999997</v>
      </c>
      <c r="J36" s="59">
        <f>ROUND(A!J36/2,2)</f>
        <v>34.119999999999997</v>
      </c>
      <c r="K36" s="59">
        <f>ROUND(A!K36/2,2)</f>
        <v>34.119999999999997</v>
      </c>
      <c r="M36" s="59">
        <f>ROUND(A!N36/2,2)</f>
        <v>34.119999999999997</v>
      </c>
      <c r="O36" s="59">
        <f>ROUND(A!P36/2,2)</f>
        <v>34.57</v>
      </c>
      <c r="P36" s="59">
        <f>ROUND(A!Q36/2,2)</f>
        <v>34.57</v>
      </c>
      <c r="Q36" s="59">
        <f>ROUND(A!R36/2,2)</f>
        <v>34.57</v>
      </c>
      <c r="R36" s="59">
        <f>ROUND(A!S36/2,2)</f>
        <v>34.57</v>
      </c>
      <c r="S36" s="59">
        <f>ROUND(A!T36/2,2)</f>
        <v>34.57</v>
      </c>
      <c r="U36" s="59">
        <f>ROUND(A!W36/2,2)</f>
        <v>34.57</v>
      </c>
    </row>
    <row r="37" spans="1:21" ht="15.75" hidden="1" customHeight="1" outlineLevel="1" thickBot="1">
      <c r="A37" s="54">
        <f t="shared" si="1"/>
        <v>29</v>
      </c>
      <c r="C37" s="59">
        <f>ROUND(A!C37/2,2)</f>
        <v>34.119999999999997</v>
      </c>
      <c r="D37" s="59">
        <f>ROUND(A!D37/2,2)</f>
        <v>34.119999999999997</v>
      </c>
      <c r="E37" s="59">
        <f>ROUND(A!E37/2,2)</f>
        <v>34.119999999999997</v>
      </c>
      <c r="G37" s="59">
        <f>ROUND(A!G37/2,2)</f>
        <v>34.119999999999997</v>
      </c>
      <c r="H37" s="59">
        <f>ROUND(A!H37/2,2)</f>
        <v>34.119999999999997</v>
      </c>
      <c r="I37" s="59">
        <f>ROUND(A!I37/2,2)</f>
        <v>34.119999999999997</v>
      </c>
      <c r="J37" s="59">
        <f>ROUND(A!J37/2,2)</f>
        <v>34.119999999999997</v>
      </c>
      <c r="K37" s="59">
        <f>ROUND(A!K37/2,2)</f>
        <v>34.119999999999997</v>
      </c>
      <c r="M37" s="59">
        <f>ROUND(A!N37/2,2)</f>
        <v>34.119999999999997</v>
      </c>
      <c r="O37" s="59">
        <f>ROUND(A!P37/2,2)</f>
        <v>34.57</v>
      </c>
      <c r="P37" s="59">
        <f>ROUND(A!Q37/2,2)</f>
        <v>34.57</v>
      </c>
      <c r="Q37" s="59">
        <f>ROUND(A!R37/2,2)</f>
        <v>34.57</v>
      </c>
      <c r="R37" s="59">
        <f>ROUND(A!S37/2,2)</f>
        <v>34.57</v>
      </c>
      <c r="S37" s="59">
        <f>ROUND(A!T37/2,2)</f>
        <v>34.57</v>
      </c>
      <c r="U37" s="59">
        <f>ROUND(A!W37/2,2)</f>
        <v>34.57</v>
      </c>
    </row>
    <row r="38" spans="1:21" ht="15.75" hidden="1" customHeight="1" outlineLevel="1" thickBot="1">
      <c r="A38" s="54">
        <f t="shared" si="1"/>
        <v>30</v>
      </c>
      <c r="C38" s="59">
        <f>ROUND(A!C38/2,2)</f>
        <v>34.119999999999997</v>
      </c>
      <c r="D38" s="59">
        <f>ROUND(A!D38/2,2)</f>
        <v>34.119999999999997</v>
      </c>
      <c r="E38" s="59">
        <f>ROUND(A!E38/2,2)</f>
        <v>34.119999999999997</v>
      </c>
      <c r="G38" s="59">
        <f>ROUND(A!G38/2,2)</f>
        <v>34.119999999999997</v>
      </c>
      <c r="H38" s="59">
        <f>ROUND(A!H38/2,2)</f>
        <v>34.119999999999997</v>
      </c>
      <c r="I38" s="59">
        <f>ROUND(A!I38/2,2)</f>
        <v>34.119999999999997</v>
      </c>
      <c r="J38" s="59">
        <f>ROUND(A!J38/2,2)</f>
        <v>34.119999999999997</v>
      </c>
      <c r="K38" s="59">
        <f>ROUND(A!K38/2,2)</f>
        <v>34.119999999999997</v>
      </c>
      <c r="M38" s="59">
        <f>ROUND(A!N38/2,2)</f>
        <v>34.119999999999997</v>
      </c>
      <c r="O38" s="59">
        <f>ROUND(A!P38/2,2)</f>
        <v>34.57</v>
      </c>
      <c r="P38" s="59">
        <f>ROUND(A!Q38/2,2)</f>
        <v>34.57</v>
      </c>
      <c r="Q38" s="59">
        <f>ROUND(A!R38/2,2)</f>
        <v>34.57</v>
      </c>
      <c r="R38" s="59">
        <f>ROUND(A!S38/2,2)</f>
        <v>34.57</v>
      </c>
      <c r="S38" s="59">
        <f>ROUND(A!T38/2,2)</f>
        <v>34.57</v>
      </c>
      <c r="U38" s="59">
        <f>ROUND(A!W38/2,2)</f>
        <v>34.57</v>
      </c>
    </row>
    <row r="39" spans="1:21" ht="15.75" hidden="1" customHeight="1" outlineLevel="1" thickBot="1">
      <c r="A39" s="54">
        <f t="shared" si="1"/>
        <v>31</v>
      </c>
      <c r="C39" s="59">
        <f>ROUND(A!C39/2,2)</f>
        <v>34.119999999999997</v>
      </c>
      <c r="D39" s="59">
        <f>ROUND(A!D39/2,2)</f>
        <v>34.119999999999997</v>
      </c>
      <c r="E39" s="59">
        <f>ROUND(A!E39/2,2)</f>
        <v>34.119999999999997</v>
      </c>
      <c r="G39" s="59">
        <f>ROUND(A!G39/2,2)</f>
        <v>34.119999999999997</v>
      </c>
      <c r="H39" s="59">
        <f>ROUND(A!H39/2,2)</f>
        <v>34.119999999999997</v>
      </c>
      <c r="I39" s="59">
        <f>ROUND(A!I39/2,2)</f>
        <v>34.119999999999997</v>
      </c>
      <c r="J39" s="59">
        <f>ROUND(A!J39/2,2)</f>
        <v>34.119999999999997</v>
      </c>
      <c r="K39" s="59">
        <f>ROUND(A!K39/2,2)</f>
        <v>34.119999999999997</v>
      </c>
      <c r="M39" s="59">
        <f>ROUND(A!N39/2,2)</f>
        <v>34.119999999999997</v>
      </c>
      <c r="O39" s="59">
        <f>ROUND(A!P39/2,2)</f>
        <v>34.57</v>
      </c>
      <c r="P39" s="59">
        <f>ROUND(A!Q39/2,2)</f>
        <v>34.57</v>
      </c>
      <c r="Q39" s="59">
        <f>ROUND(A!R39/2,2)</f>
        <v>34.57</v>
      </c>
      <c r="R39" s="59">
        <f>ROUND(A!S39/2,2)</f>
        <v>34.57</v>
      </c>
      <c r="S39" s="59">
        <f>ROUND(A!T39/2,2)</f>
        <v>34.57</v>
      </c>
      <c r="U39" s="59">
        <f>ROUND(A!W39/2,2)</f>
        <v>34.57</v>
      </c>
    </row>
    <row r="40" spans="1:21" ht="15.75" hidden="1" customHeight="1" outlineLevel="1" thickBot="1">
      <c r="A40" s="54">
        <f t="shared" si="1"/>
        <v>32</v>
      </c>
      <c r="C40" s="59">
        <f>ROUND(A!C40/2,2)</f>
        <v>34.119999999999997</v>
      </c>
      <c r="D40" s="59">
        <f>ROUND(A!D40/2,2)</f>
        <v>34.119999999999997</v>
      </c>
      <c r="E40" s="59">
        <f>ROUND(A!E40/2,2)</f>
        <v>34.119999999999997</v>
      </c>
      <c r="G40" s="59">
        <f>ROUND(A!G40/2,2)</f>
        <v>34.119999999999997</v>
      </c>
      <c r="H40" s="59">
        <f>ROUND(A!H40/2,2)</f>
        <v>34.119999999999997</v>
      </c>
      <c r="I40" s="59">
        <f>ROUND(A!I40/2,2)</f>
        <v>34.119999999999997</v>
      </c>
      <c r="J40" s="59">
        <f>ROUND(A!J40/2,2)</f>
        <v>34.119999999999997</v>
      </c>
      <c r="K40" s="59">
        <f>ROUND(A!K40/2,2)</f>
        <v>34.119999999999997</v>
      </c>
      <c r="M40" s="59">
        <f>ROUND(A!N40/2,2)</f>
        <v>34.119999999999997</v>
      </c>
      <c r="O40" s="59">
        <f>ROUND(A!P40/2,2)</f>
        <v>34.57</v>
      </c>
      <c r="P40" s="59">
        <f>ROUND(A!Q40/2,2)</f>
        <v>34.57</v>
      </c>
      <c r="Q40" s="59">
        <f>ROUND(A!R40/2,2)</f>
        <v>34.57</v>
      </c>
      <c r="R40" s="59">
        <f>ROUND(A!S40/2,2)</f>
        <v>34.57</v>
      </c>
      <c r="S40" s="59">
        <f>ROUND(A!T40/2,2)</f>
        <v>34.57</v>
      </c>
      <c r="U40" s="59">
        <f>ROUND(A!W40/2,2)</f>
        <v>34.57</v>
      </c>
    </row>
    <row r="41" spans="1:21" ht="15.75" hidden="1" customHeight="1" outlineLevel="1" thickBot="1">
      <c r="A41" s="54">
        <f t="shared" si="1"/>
        <v>33</v>
      </c>
      <c r="C41" s="59">
        <f>ROUND(A!C41/2,2)</f>
        <v>34.119999999999997</v>
      </c>
      <c r="D41" s="59">
        <f>ROUND(A!D41/2,2)</f>
        <v>34.119999999999997</v>
      </c>
      <c r="E41" s="59">
        <f>ROUND(A!E41/2,2)</f>
        <v>34.119999999999997</v>
      </c>
      <c r="G41" s="59">
        <f>ROUND(A!G41/2,2)</f>
        <v>34.119999999999997</v>
      </c>
      <c r="H41" s="59">
        <f>ROUND(A!H41/2,2)</f>
        <v>34.119999999999997</v>
      </c>
      <c r="I41" s="59">
        <f>ROUND(A!I41/2,2)</f>
        <v>34.119999999999997</v>
      </c>
      <c r="J41" s="59">
        <f>ROUND(A!J41/2,2)</f>
        <v>34.119999999999997</v>
      </c>
      <c r="K41" s="59">
        <f>ROUND(A!K41/2,2)</f>
        <v>34.119999999999997</v>
      </c>
      <c r="M41" s="59">
        <f>ROUND(A!N41/2,2)</f>
        <v>34.119999999999997</v>
      </c>
      <c r="O41" s="59">
        <f>ROUND(A!P41/2,2)</f>
        <v>34.57</v>
      </c>
      <c r="P41" s="59">
        <f>ROUND(A!Q41/2,2)</f>
        <v>34.57</v>
      </c>
      <c r="Q41" s="59">
        <f>ROUND(A!R41/2,2)</f>
        <v>34.57</v>
      </c>
      <c r="R41" s="59">
        <f>ROUND(A!S41/2,2)</f>
        <v>34.57</v>
      </c>
      <c r="S41" s="59">
        <f>ROUND(A!T41/2,2)</f>
        <v>34.57</v>
      </c>
      <c r="U41" s="59">
        <f>ROUND(A!W41/2,2)</f>
        <v>34.57</v>
      </c>
    </row>
    <row r="42" spans="1:21" ht="15.75" hidden="1" customHeight="1" outlineLevel="1" thickBot="1">
      <c r="A42" s="54">
        <f t="shared" si="1"/>
        <v>34</v>
      </c>
      <c r="C42" s="59">
        <f>ROUND(A!C42/2,2)</f>
        <v>34.119999999999997</v>
      </c>
      <c r="D42" s="59">
        <f>ROUND(A!D42/2,2)</f>
        <v>34.119999999999997</v>
      </c>
      <c r="E42" s="59">
        <f>ROUND(A!E42/2,2)</f>
        <v>34.119999999999997</v>
      </c>
      <c r="G42" s="59">
        <f>ROUND(A!G42/2,2)</f>
        <v>34.119999999999997</v>
      </c>
      <c r="H42" s="59">
        <f>ROUND(A!H42/2,2)</f>
        <v>34.119999999999997</v>
      </c>
      <c r="I42" s="59">
        <f>ROUND(A!I42/2,2)</f>
        <v>34.119999999999997</v>
      </c>
      <c r="J42" s="59">
        <f>ROUND(A!J42/2,2)</f>
        <v>34.119999999999997</v>
      </c>
      <c r="K42" s="59">
        <f>ROUND(A!K42/2,2)</f>
        <v>34.119999999999997</v>
      </c>
      <c r="M42" s="59">
        <f>ROUND(A!N42/2,2)</f>
        <v>34.119999999999997</v>
      </c>
      <c r="O42" s="59">
        <f>ROUND(A!P42/2,2)</f>
        <v>34.57</v>
      </c>
      <c r="P42" s="59">
        <f>ROUND(A!Q42/2,2)</f>
        <v>34.57</v>
      </c>
      <c r="Q42" s="59">
        <f>ROUND(A!R42/2,2)</f>
        <v>34.57</v>
      </c>
      <c r="R42" s="59">
        <f>ROUND(A!S42/2,2)</f>
        <v>34.57</v>
      </c>
      <c r="S42" s="59">
        <f>ROUND(A!T42/2,2)</f>
        <v>34.57</v>
      </c>
      <c r="U42" s="59">
        <f>ROUND(A!W42/2,2)</f>
        <v>34.57</v>
      </c>
    </row>
    <row r="43" spans="1:21" ht="15.75" hidden="1" customHeight="1" outlineLevel="1" thickBot="1">
      <c r="A43" s="54">
        <f t="shared" si="1"/>
        <v>35</v>
      </c>
      <c r="C43" s="59">
        <f>ROUND(A!C43/2,2)</f>
        <v>34.119999999999997</v>
      </c>
      <c r="D43" s="59">
        <f>ROUND(A!D43/2,2)</f>
        <v>34.119999999999997</v>
      </c>
      <c r="E43" s="59">
        <f>ROUND(A!E43/2,2)</f>
        <v>34.119999999999997</v>
      </c>
      <c r="G43" s="59">
        <f>ROUND(A!G43/2,2)</f>
        <v>34.119999999999997</v>
      </c>
      <c r="H43" s="59">
        <f>ROUND(A!H43/2,2)</f>
        <v>34.119999999999997</v>
      </c>
      <c r="I43" s="59">
        <f>ROUND(A!I43/2,2)</f>
        <v>34.119999999999997</v>
      </c>
      <c r="J43" s="59">
        <f>ROUND(A!J43/2,2)</f>
        <v>34.119999999999997</v>
      </c>
      <c r="K43" s="59">
        <f>ROUND(A!K43/2,2)</f>
        <v>34.119999999999997</v>
      </c>
      <c r="M43" s="59">
        <f>ROUND(A!N43/2,2)</f>
        <v>34.119999999999997</v>
      </c>
      <c r="O43" s="59">
        <f>ROUND(A!P43/2,2)</f>
        <v>34.57</v>
      </c>
      <c r="P43" s="59">
        <f>ROUND(A!Q43/2,2)</f>
        <v>34.57</v>
      </c>
      <c r="Q43" s="59">
        <f>ROUND(A!R43/2,2)</f>
        <v>34.57</v>
      </c>
      <c r="R43" s="59">
        <f>ROUND(A!S43/2,2)</f>
        <v>34.57</v>
      </c>
      <c r="S43" s="59">
        <f>ROUND(A!T43/2,2)</f>
        <v>34.57</v>
      </c>
      <c r="U43" s="59">
        <f>ROUND(A!W43/2,2)</f>
        <v>34.57</v>
      </c>
    </row>
    <row r="44" spans="1:21" ht="15.75" hidden="1" customHeight="1" outlineLevel="1" thickBot="1">
      <c r="A44" s="54">
        <f t="shared" si="1"/>
        <v>36</v>
      </c>
      <c r="C44" s="59">
        <f>ROUND(A!C44/2,2)</f>
        <v>34.119999999999997</v>
      </c>
      <c r="D44" s="59">
        <f>ROUND(A!D44/2,2)</f>
        <v>34.119999999999997</v>
      </c>
      <c r="E44" s="59">
        <f>ROUND(A!E44/2,2)</f>
        <v>34.119999999999997</v>
      </c>
      <c r="G44" s="59">
        <f>ROUND(A!G44/2,2)</f>
        <v>34.119999999999997</v>
      </c>
      <c r="H44" s="59">
        <f>ROUND(A!H44/2,2)</f>
        <v>34.119999999999997</v>
      </c>
      <c r="I44" s="59">
        <f>ROUND(A!I44/2,2)</f>
        <v>34.119999999999997</v>
      </c>
      <c r="J44" s="59">
        <f>ROUND(A!J44/2,2)</f>
        <v>34.119999999999997</v>
      </c>
      <c r="K44" s="59">
        <f>ROUND(A!K44/2,2)</f>
        <v>34.119999999999997</v>
      </c>
      <c r="M44" s="59">
        <f>ROUND(A!N44/2,2)</f>
        <v>34.119999999999997</v>
      </c>
      <c r="O44" s="59">
        <f>ROUND(A!P44/2,2)</f>
        <v>34.57</v>
      </c>
      <c r="P44" s="59">
        <f>ROUND(A!Q44/2,2)</f>
        <v>34.57</v>
      </c>
      <c r="Q44" s="59">
        <f>ROUND(A!R44/2,2)</f>
        <v>34.57</v>
      </c>
      <c r="R44" s="59">
        <f>ROUND(A!S44/2,2)</f>
        <v>34.57</v>
      </c>
      <c r="S44" s="59">
        <f>ROUND(A!T44/2,2)</f>
        <v>34.57</v>
      </c>
      <c r="U44" s="59">
        <f>ROUND(A!W44/2,2)</f>
        <v>34.57</v>
      </c>
    </row>
    <row r="45" spans="1:21" ht="15.75" hidden="1" customHeight="1" outlineLevel="1" thickBot="1">
      <c r="A45" s="54">
        <f t="shared" si="1"/>
        <v>37</v>
      </c>
      <c r="C45" s="59">
        <f>ROUND(A!C45/2,2)</f>
        <v>34.119999999999997</v>
      </c>
      <c r="D45" s="59">
        <f>ROUND(A!D45/2,2)</f>
        <v>34.119999999999997</v>
      </c>
      <c r="E45" s="59">
        <f>ROUND(A!E45/2,2)</f>
        <v>34.119999999999997</v>
      </c>
      <c r="G45" s="59">
        <f>ROUND(A!G45/2,2)</f>
        <v>34.119999999999997</v>
      </c>
      <c r="H45" s="59">
        <f>ROUND(A!H45/2,2)</f>
        <v>34.119999999999997</v>
      </c>
      <c r="I45" s="59">
        <f>ROUND(A!I45/2,2)</f>
        <v>34.119999999999997</v>
      </c>
      <c r="J45" s="59">
        <f>ROUND(A!J45/2,2)</f>
        <v>34.119999999999997</v>
      </c>
      <c r="K45" s="59">
        <f>ROUND(A!K45/2,2)</f>
        <v>34.119999999999997</v>
      </c>
      <c r="M45" s="59">
        <f>ROUND(A!N45/2,2)</f>
        <v>34.119999999999997</v>
      </c>
      <c r="O45" s="59">
        <f>ROUND(A!P45/2,2)</f>
        <v>34.57</v>
      </c>
      <c r="P45" s="59">
        <f>ROUND(A!Q45/2,2)</f>
        <v>34.57</v>
      </c>
      <c r="Q45" s="59">
        <f>ROUND(A!R45/2,2)</f>
        <v>34.57</v>
      </c>
      <c r="R45" s="59">
        <f>ROUND(A!S45/2,2)</f>
        <v>34.57</v>
      </c>
      <c r="S45" s="59">
        <f>ROUND(A!T45/2,2)</f>
        <v>34.57</v>
      </c>
      <c r="U45" s="59">
        <f>ROUND(A!W45/2,2)</f>
        <v>34.57</v>
      </c>
    </row>
    <row r="46" spans="1:21" ht="15.75" hidden="1" customHeight="1" outlineLevel="1" thickBot="1">
      <c r="A46" s="54">
        <f t="shared" si="1"/>
        <v>38</v>
      </c>
      <c r="C46" s="59">
        <f>ROUND(A!C46/2,2)</f>
        <v>34.119999999999997</v>
      </c>
      <c r="D46" s="59">
        <f>ROUND(A!D46/2,2)</f>
        <v>34.119999999999997</v>
      </c>
      <c r="E46" s="59">
        <f>ROUND(A!E46/2,2)</f>
        <v>34.119999999999997</v>
      </c>
      <c r="G46" s="59">
        <f>ROUND(A!G46/2,2)</f>
        <v>34.119999999999997</v>
      </c>
      <c r="H46" s="59">
        <f>ROUND(A!H46/2,2)</f>
        <v>34.119999999999997</v>
      </c>
      <c r="I46" s="59">
        <f>ROUND(A!I46/2,2)</f>
        <v>34.119999999999997</v>
      </c>
      <c r="J46" s="59">
        <f>ROUND(A!J46/2,2)</f>
        <v>34.119999999999997</v>
      </c>
      <c r="K46" s="59">
        <f>ROUND(A!K46/2,2)</f>
        <v>34.119999999999997</v>
      </c>
      <c r="M46" s="59">
        <f>ROUND(A!N46/2,2)</f>
        <v>34.119999999999997</v>
      </c>
      <c r="O46" s="59">
        <f>ROUND(A!P46/2,2)</f>
        <v>34.57</v>
      </c>
      <c r="P46" s="59">
        <f>ROUND(A!Q46/2,2)</f>
        <v>34.57</v>
      </c>
      <c r="Q46" s="59">
        <f>ROUND(A!R46/2,2)</f>
        <v>34.57</v>
      </c>
      <c r="R46" s="59">
        <f>ROUND(A!S46/2,2)</f>
        <v>34.57</v>
      </c>
      <c r="S46" s="59">
        <f>ROUND(A!T46/2,2)</f>
        <v>34.57</v>
      </c>
      <c r="U46" s="59">
        <f>ROUND(A!W46/2,2)</f>
        <v>34.57</v>
      </c>
    </row>
    <row r="47" spans="1:21" ht="15.75" hidden="1" customHeight="1" outlineLevel="1" thickBot="1">
      <c r="A47" s="54">
        <f t="shared" si="1"/>
        <v>39</v>
      </c>
      <c r="C47" s="59">
        <f>ROUND(A!C47/2,2)</f>
        <v>34.119999999999997</v>
      </c>
      <c r="D47" s="59">
        <f>ROUND(A!D47/2,2)</f>
        <v>34.119999999999997</v>
      </c>
      <c r="E47" s="59">
        <f>ROUND(A!E47/2,2)</f>
        <v>34.119999999999997</v>
      </c>
      <c r="G47" s="59">
        <f>ROUND(A!G47/2,2)</f>
        <v>34.119999999999997</v>
      </c>
      <c r="H47" s="59">
        <f>ROUND(A!H47/2,2)</f>
        <v>34.119999999999997</v>
      </c>
      <c r="I47" s="59">
        <f>ROUND(A!I47/2,2)</f>
        <v>34.119999999999997</v>
      </c>
      <c r="J47" s="59">
        <f>ROUND(A!J47/2,2)</f>
        <v>34.119999999999997</v>
      </c>
      <c r="K47" s="59">
        <f>ROUND(A!K47/2,2)</f>
        <v>34.119999999999997</v>
      </c>
      <c r="M47" s="59">
        <f>ROUND(A!N47/2,2)</f>
        <v>34.119999999999997</v>
      </c>
      <c r="O47" s="59">
        <f>ROUND(A!P47/2,2)</f>
        <v>34.57</v>
      </c>
      <c r="P47" s="59">
        <f>ROUND(A!Q47/2,2)</f>
        <v>34.57</v>
      </c>
      <c r="Q47" s="59">
        <f>ROUND(A!R47/2,2)</f>
        <v>34.57</v>
      </c>
      <c r="R47" s="59">
        <f>ROUND(A!S47/2,2)</f>
        <v>34.57</v>
      </c>
      <c r="S47" s="59">
        <f>ROUND(A!T47/2,2)</f>
        <v>34.57</v>
      </c>
      <c r="U47" s="59">
        <f>ROUND(A!W47/2,2)</f>
        <v>34.57</v>
      </c>
    </row>
    <row r="48" spans="1:21" ht="15.75" hidden="1" customHeight="1" outlineLevel="1" thickBot="1">
      <c r="A48" s="54">
        <f t="shared" si="1"/>
        <v>40</v>
      </c>
      <c r="C48" s="59">
        <f>ROUND(A!C48/2,2)</f>
        <v>34.119999999999997</v>
      </c>
      <c r="D48" s="59">
        <f>ROUND(A!D48/2,2)</f>
        <v>34.119999999999997</v>
      </c>
      <c r="E48" s="59">
        <f>ROUND(A!E48/2,2)</f>
        <v>34.119999999999997</v>
      </c>
      <c r="G48" s="59">
        <f>ROUND(A!G48/2,2)</f>
        <v>34.119999999999997</v>
      </c>
      <c r="H48" s="59">
        <f>ROUND(A!H48/2,2)</f>
        <v>34.119999999999997</v>
      </c>
      <c r="I48" s="59">
        <f>ROUND(A!I48/2,2)</f>
        <v>34.119999999999997</v>
      </c>
      <c r="J48" s="59">
        <f>ROUND(A!J48/2,2)</f>
        <v>34.119999999999997</v>
      </c>
      <c r="K48" s="59">
        <f>ROUND(A!K48/2,2)</f>
        <v>34.119999999999997</v>
      </c>
      <c r="M48" s="59">
        <f>ROUND(A!N48/2,2)</f>
        <v>34.119999999999997</v>
      </c>
      <c r="O48" s="59">
        <f>ROUND(A!P48/2,2)</f>
        <v>34.57</v>
      </c>
      <c r="P48" s="59">
        <f>ROUND(A!Q48/2,2)</f>
        <v>34.57</v>
      </c>
      <c r="Q48" s="59">
        <f>ROUND(A!R48/2,2)</f>
        <v>34.57</v>
      </c>
      <c r="R48" s="59">
        <f>ROUND(A!S48/2,2)</f>
        <v>34.57</v>
      </c>
      <c r="S48" s="59">
        <f>ROUND(A!T48/2,2)</f>
        <v>34.57</v>
      </c>
      <c r="U48" s="59">
        <f>ROUND(A!W48/2,2)</f>
        <v>34.57</v>
      </c>
    </row>
    <row r="49" spans="1:21" ht="15.75" hidden="1" customHeight="1" outlineLevel="1" thickBot="1">
      <c r="A49" s="54">
        <f t="shared" si="1"/>
        <v>41</v>
      </c>
      <c r="C49" s="59">
        <f>ROUND(A!C49/2,2)</f>
        <v>34.119999999999997</v>
      </c>
      <c r="D49" s="59">
        <f>ROUND(A!D49/2,2)</f>
        <v>34.119999999999997</v>
      </c>
      <c r="E49" s="59">
        <f>ROUND(A!E49/2,2)</f>
        <v>34.119999999999997</v>
      </c>
      <c r="G49" s="59">
        <f>ROUND(A!G49/2,2)</f>
        <v>34.119999999999997</v>
      </c>
      <c r="H49" s="59">
        <f>ROUND(A!H49/2,2)</f>
        <v>34.119999999999997</v>
      </c>
      <c r="I49" s="59">
        <f>ROUND(A!I49/2,2)</f>
        <v>34.119999999999997</v>
      </c>
      <c r="J49" s="59">
        <f>ROUND(A!J49/2,2)</f>
        <v>34.119999999999997</v>
      </c>
      <c r="K49" s="59">
        <f>ROUND(A!K49/2,2)</f>
        <v>34.119999999999997</v>
      </c>
      <c r="M49" s="59">
        <f>ROUND(A!N49/2,2)</f>
        <v>34.119999999999997</v>
      </c>
      <c r="O49" s="59">
        <f>ROUND(A!P49/2,2)</f>
        <v>34.57</v>
      </c>
      <c r="P49" s="59">
        <f>ROUND(A!Q49/2,2)</f>
        <v>34.57</v>
      </c>
      <c r="Q49" s="59">
        <f>ROUND(A!R49/2,2)</f>
        <v>34.57</v>
      </c>
      <c r="R49" s="59">
        <f>ROUND(A!S49/2,2)</f>
        <v>34.57</v>
      </c>
      <c r="S49" s="59">
        <f>ROUND(A!T49/2,2)</f>
        <v>34.57</v>
      </c>
      <c r="U49" s="59">
        <f>ROUND(A!W49/2,2)</f>
        <v>34.57</v>
      </c>
    </row>
    <row r="50" spans="1:21" ht="15.75" hidden="1" customHeight="1" outlineLevel="1" thickBot="1">
      <c r="A50" s="54">
        <f t="shared" si="1"/>
        <v>42</v>
      </c>
      <c r="C50" s="59">
        <f>ROUND(A!C50/2,2)</f>
        <v>34.119999999999997</v>
      </c>
      <c r="D50" s="59">
        <f>ROUND(A!D50/2,2)</f>
        <v>34.119999999999997</v>
      </c>
      <c r="E50" s="59">
        <f>ROUND(A!E50/2,2)</f>
        <v>34.119999999999997</v>
      </c>
      <c r="G50" s="59">
        <f>ROUND(A!G50/2,2)</f>
        <v>34.119999999999997</v>
      </c>
      <c r="H50" s="59">
        <f>ROUND(A!H50/2,2)</f>
        <v>34.119999999999997</v>
      </c>
      <c r="I50" s="59">
        <f>ROUND(A!I50/2,2)</f>
        <v>34.119999999999997</v>
      </c>
      <c r="J50" s="59">
        <f>ROUND(A!J50/2,2)</f>
        <v>34.119999999999997</v>
      </c>
      <c r="K50" s="59">
        <f>ROUND(A!K50/2,2)</f>
        <v>34.119999999999997</v>
      </c>
      <c r="M50" s="59">
        <f>ROUND(A!N50/2,2)</f>
        <v>34.119999999999997</v>
      </c>
      <c r="O50" s="59">
        <f>ROUND(A!P50/2,2)</f>
        <v>34.57</v>
      </c>
      <c r="P50" s="59">
        <f>ROUND(A!Q50/2,2)</f>
        <v>34.57</v>
      </c>
      <c r="Q50" s="59">
        <f>ROUND(A!R50/2,2)</f>
        <v>34.57</v>
      </c>
      <c r="R50" s="59">
        <f>ROUND(A!S50/2,2)</f>
        <v>34.57</v>
      </c>
      <c r="S50" s="59">
        <f>ROUND(A!T50/2,2)</f>
        <v>34.57</v>
      </c>
      <c r="U50" s="59">
        <f>ROUND(A!W50/2,2)</f>
        <v>34.57</v>
      </c>
    </row>
    <row r="51" spans="1:21" ht="15.75" hidden="1" customHeight="1" outlineLevel="1" thickBot="1">
      <c r="A51" s="54">
        <f t="shared" si="1"/>
        <v>43</v>
      </c>
      <c r="C51" s="59">
        <f>ROUND(A!C51/2,2)</f>
        <v>34.119999999999997</v>
      </c>
      <c r="D51" s="59">
        <f>ROUND(A!D51/2,2)</f>
        <v>34.119999999999997</v>
      </c>
      <c r="E51" s="59">
        <f>ROUND(A!E51/2,2)</f>
        <v>34.119999999999997</v>
      </c>
      <c r="G51" s="59">
        <f>ROUND(A!G51/2,2)</f>
        <v>34.119999999999997</v>
      </c>
      <c r="H51" s="59">
        <f>ROUND(A!H51/2,2)</f>
        <v>34.119999999999997</v>
      </c>
      <c r="I51" s="59">
        <f>ROUND(A!I51/2,2)</f>
        <v>34.119999999999997</v>
      </c>
      <c r="J51" s="59">
        <f>ROUND(A!J51/2,2)</f>
        <v>34.119999999999997</v>
      </c>
      <c r="K51" s="59">
        <f>ROUND(A!K51/2,2)</f>
        <v>34.119999999999997</v>
      </c>
      <c r="M51" s="59">
        <f>ROUND(A!N51/2,2)</f>
        <v>34.119999999999997</v>
      </c>
      <c r="O51" s="59">
        <f>ROUND(A!P51/2,2)</f>
        <v>34.57</v>
      </c>
      <c r="P51" s="59">
        <f>ROUND(A!Q51/2,2)</f>
        <v>34.57</v>
      </c>
      <c r="Q51" s="59">
        <f>ROUND(A!R51/2,2)</f>
        <v>34.57</v>
      </c>
      <c r="R51" s="59">
        <f>ROUND(A!S51/2,2)</f>
        <v>34.57</v>
      </c>
      <c r="S51" s="59">
        <f>ROUND(A!T51/2,2)</f>
        <v>34.57</v>
      </c>
      <c r="U51" s="59">
        <f>ROUND(A!W51/2,2)</f>
        <v>34.57</v>
      </c>
    </row>
    <row r="52" spans="1:21" ht="15.75" hidden="1" customHeight="1" outlineLevel="1" thickBot="1">
      <c r="A52" s="54">
        <f t="shared" si="1"/>
        <v>44</v>
      </c>
      <c r="C52" s="59">
        <f>ROUND(A!C52/2,2)</f>
        <v>34.119999999999997</v>
      </c>
      <c r="D52" s="59">
        <f>ROUND(A!D52/2,2)</f>
        <v>34.119999999999997</v>
      </c>
      <c r="E52" s="59">
        <f>ROUND(A!E52/2,2)</f>
        <v>34.119999999999997</v>
      </c>
      <c r="G52" s="59">
        <f>ROUND(A!G52/2,2)</f>
        <v>34.119999999999997</v>
      </c>
      <c r="H52" s="59">
        <f>ROUND(A!H52/2,2)</f>
        <v>34.119999999999997</v>
      </c>
      <c r="I52" s="59">
        <f>ROUND(A!I52/2,2)</f>
        <v>34.119999999999997</v>
      </c>
      <c r="J52" s="59">
        <f>ROUND(A!J52/2,2)</f>
        <v>34.119999999999997</v>
      </c>
      <c r="K52" s="59">
        <f>ROUND(A!K52/2,2)</f>
        <v>34.119999999999997</v>
      </c>
      <c r="M52" s="59">
        <f>ROUND(A!N52/2,2)</f>
        <v>34.119999999999997</v>
      </c>
      <c r="O52" s="59">
        <f>ROUND(A!P52/2,2)</f>
        <v>34.57</v>
      </c>
      <c r="P52" s="59">
        <f>ROUND(A!Q52/2,2)</f>
        <v>34.57</v>
      </c>
      <c r="Q52" s="59">
        <f>ROUND(A!R52/2,2)</f>
        <v>34.57</v>
      </c>
      <c r="R52" s="59">
        <f>ROUND(A!S52/2,2)</f>
        <v>34.57</v>
      </c>
      <c r="S52" s="59">
        <f>ROUND(A!T52/2,2)</f>
        <v>34.57</v>
      </c>
      <c r="U52" s="59">
        <f>ROUND(A!W52/2,2)</f>
        <v>34.57</v>
      </c>
    </row>
    <row r="53" spans="1:21" ht="15.75" hidden="1" customHeight="1" outlineLevel="1" thickBot="1">
      <c r="A53" s="54">
        <f t="shared" si="1"/>
        <v>45</v>
      </c>
      <c r="C53" s="59">
        <f>ROUND(A!C53/2,2)</f>
        <v>34.119999999999997</v>
      </c>
      <c r="D53" s="59">
        <f>ROUND(A!D53/2,2)</f>
        <v>34.119999999999997</v>
      </c>
      <c r="E53" s="59">
        <f>ROUND(A!E53/2,2)</f>
        <v>34.119999999999997</v>
      </c>
      <c r="G53" s="59">
        <f>ROUND(A!G53/2,2)</f>
        <v>34.119999999999997</v>
      </c>
      <c r="H53" s="59">
        <f>ROUND(A!H53/2,2)</f>
        <v>34.119999999999997</v>
      </c>
      <c r="I53" s="59">
        <f>ROUND(A!I53/2,2)</f>
        <v>34.119999999999997</v>
      </c>
      <c r="J53" s="59">
        <f>ROUND(A!J53/2,2)</f>
        <v>34.119999999999997</v>
      </c>
      <c r="K53" s="59">
        <f>ROUND(A!K53/2,2)</f>
        <v>34.119999999999997</v>
      </c>
      <c r="M53" s="59">
        <f>ROUND(A!N53/2,2)</f>
        <v>34.119999999999997</v>
      </c>
      <c r="O53" s="59">
        <f>ROUND(A!P53/2,2)</f>
        <v>34.57</v>
      </c>
      <c r="P53" s="59">
        <f>ROUND(A!Q53/2,2)</f>
        <v>34.57</v>
      </c>
      <c r="Q53" s="59">
        <f>ROUND(A!R53/2,2)</f>
        <v>34.57</v>
      </c>
      <c r="R53" s="59">
        <f>ROUND(A!S53/2,2)</f>
        <v>34.57</v>
      </c>
      <c r="S53" s="59">
        <f>ROUND(A!T53/2,2)</f>
        <v>34.57</v>
      </c>
      <c r="U53" s="59">
        <f>ROUND(A!W53/2,2)</f>
        <v>34.57</v>
      </c>
    </row>
    <row r="54" spans="1:21" ht="15" hidden="1" outlineLevel="1" thickBot="1">
      <c r="A54" s="54">
        <f t="shared" si="1"/>
        <v>46</v>
      </c>
      <c r="C54" s="59">
        <f>ROUND(A!C54/2,2)</f>
        <v>34.119999999999997</v>
      </c>
      <c r="D54" s="59">
        <f>ROUND(A!D54/2,2)</f>
        <v>34.119999999999997</v>
      </c>
      <c r="E54" s="59">
        <f>ROUND(A!E54/2,2)</f>
        <v>34.119999999999997</v>
      </c>
      <c r="G54" s="59">
        <f>ROUND(A!G54/2,2)</f>
        <v>34.119999999999997</v>
      </c>
      <c r="H54" s="59">
        <f>ROUND(A!H54/2,2)</f>
        <v>34.119999999999997</v>
      </c>
      <c r="I54" s="59">
        <f>ROUND(A!I54/2,2)</f>
        <v>34.119999999999997</v>
      </c>
      <c r="J54" s="59">
        <f>ROUND(A!J54/2,2)</f>
        <v>34.119999999999997</v>
      </c>
      <c r="K54" s="59">
        <f>ROUND(A!K54/2,2)</f>
        <v>34.119999999999997</v>
      </c>
      <c r="M54" s="59">
        <f>ROUND(A!N54/2,2)</f>
        <v>34.119999999999997</v>
      </c>
      <c r="O54" s="59">
        <f>ROUND(A!P54/2,2)</f>
        <v>34.57</v>
      </c>
      <c r="P54" s="59">
        <f>ROUND(A!Q54/2,2)</f>
        <v>34.57</v>
      </c>
      <c r="Q54" s="59">
        <f>ROUND(A!R54/2,2)</f>
        <v>34.57</v>
      </c>
      <c r="R54" s="59">
        <f>ROUND(A!S54/2,2)</f>
        <v>34.57</v>
      </c>
      <c r="S54" s="59">
        <f>ROUND(A!T54/2,2)</f>
        <v>34.57</v>
      </c>
      <c r="U54" s="59">
        <f>ROUND(A!W54/2,2)</f>
        <v>34.57</v>
      </c>
    </row>
    <row r="55" spans="1:21" ht="15" hidden="1" outlineLevel="1" thickBot="1">
      <c r="A55" s="54">
        <f t="shared" si="1"/>
        <v>47</v>
      </c>
      <c r="C55" s="59">
        <f>ROUND(A!C55/2,2)</f>
        <v>34.119999999999997</v>
      </c>
      <c r="D55" s="59">
        <f>ROUND(A!D55/2,2)</f>
        <v>34.119999999999997</v>
      </c>
      <c r="E55" s="59">
        <f>ROUND(A!E55/2,2)</f>
        <v>34.119999999999997</v>
      </c>
      <c r="G55" s="59">
        <f>ROUND(A!G55/2,2)</f>
        <v>34.119999999999997</v>
      </c>
      <c r="H55" s="59">
        <f>ROUND(A!H55/2,2)</f>
        <v>34.119999999999997</v>
      </c>
      <c r="I55" s="59">
        <f>ROUND(A!I55/2,2)</f>
        <v>34.119999999999997</v>
      </c>
      <c r="J55" s="59">
        <f>ROUND(A!J55/2,2)</f>
        <v>34.119999999999997</v>
      </c>
      <c r="K55" s="59">
        <f>ROUND(A!K55/2,2)</f>
        <v>34.119999999999997</v>
      </c>
      <c r="M55" s="59">
        <f>ROUND(A!N55/2,2)</f>
        <v>34.119999999999997</v>
      </c>
      <c r="O55" s="59">
        <f>ROUND(A!P55/2,2)</f>
        <v>34.57</v>
      </c>
      <c r="P55" s="59">
        <f>ROUND(A!Q55/2,2)</f>
        <v>34.57</v>
      </c>
      <c r="Q55" s="59">
        <f>ROUND(A!R55/2,2)</f>
        <v>34.57</v>
      </c>
      <c r="R55" s="59">
        <f>ROUND(A!S55/2,2)</f>
        <v>34.57</v>
      </c>
      <c r="S55" s="59">
        <f>ROUND(A!T55/2,2)</f>
        <v>34.57</v>
      </c>
      <c r="U55" s="59">
        <f>ROUND(A!W55/2,2)</f>
        <v>34.57</v>
      </c>
    </row>
    <row r="56" spans="1:21" ht="15" hidden="1" outlineLevel="1" thickBot="1">
      <c r="A56" s="54">
        <f t="shared" si="1"/>
        <v>48</v>
      </c>
      <c r="C56" s="59">
        <f>ROUND(A!C56/2,2)</f>
        <v>34.119999999999997</v>
      </c>
      <c r="D56" s="59">
        <f>ROUND(A!D56/2,2)</f>
        <v>34.119999999999997</v>
      </c>
      <c r="E56" s="59">
        <f>ROUND(A!E56/2,2)</f>
        <v>34.119999999999997</v>
      </c>
      <c r="G56" s="59">
        <f>ROUND(A!G56/2,2)</f>
        <v>34.119999999999997</v>
      </c>
      <c r="H56" s="59">
        <f>ROUND(A!H56/2,2)</f>
        <v>34.119999999999997</v>
      </c>
      <c r="I56" s="59">
        <f>ROUND(A!I56/2,2)</f>
        <v>34.119999999999997</v>
      </c>
      <c r="J56" s="59">
        <f>ROUND(A!J56/2,2)</f>
        <v>34.119999999999997</v>
      </c>
      <c r="K56" s="59">
        <f>ROUND(A!K56/2,2)</f>
        <v>34.119999999999997</v>
      </c>
      <c r="M56" s="59">
        <f>ROUND(A!N56/2,2)</f>
        <v>34.119999999999997</v>
      </c>
      <c r="O56" s="59">
        <f>ROUND(A!P56/2,2)</f>
        <v>34.57</v>
      </c>
      <c r="P56" s="59">
        <f>ROUND(A!Q56/2,2)</f>
        <v>34.57</v>
      </c>
      <c r="Q56" s="59">
        <f>ROUND(A!R56/2,2)</f>
        <v>34.57</v>
      </c>
      <c r="R56" s="59">
        <f>ROUND(A!S56/2,2)</f>
        <v>34.57</v>
      </c>
      <c r="S56" s="59">
        <f>ROUND(A!T56/2,2)</f>
        <v>34.57</v>
      </c>
      <c r="U56" s="59">
        <f>ROUND(A!W56/2,2)</f>
        <v>34.57</v>
      </c>
    </row>
    <row r="57" spans="1:21" ht="15" hidden="1" outlineLevel="1" thickBot="1">
      <c r="A57" s="54">
        <f t="shared" si="1"/>
        <v>49</v>
      </c>
      <c r="C57" s="59">
        <f>ROUND(A!C57/2,2)</f>
        <v>34.119999999999997</v>
      </c>
      <c r="D57" s="59">
        <f>ROUND(A!D57/2,2)</f>
        <v>34.119999999999997</v>
      </c>
      <c r="E57" s="59">
        <f>ROUND(A!E57/2,2)</f>
        <v>34.119999999999997</v>
      </c>
      <c r="G57" s="59">
        <f>ROUND(A!G57/2,2)</f>
        <v>34.119999999999997</v>
      </c>
      <c r="H57" s="59">
        <f>ROUND(A!H57/2,2)</f>
        <v>34.119999999999997</v>
      </c>
      <c r="I57" s="59">
        <f>ROUND(A!I57/2,2)</f>
        <v>34.119999999999997</v>
      </c>
      <c r="J57" s="59">
        <f>ROUND(A!J57/2,2)</f>
        <v>34.119999999999997</v>
      </c>
      <c r="K57" s="59">
        <f>ROUND(A!K57/2,2)</f>
        <v>34.119999999999997</v>
      </c>
      <c r="M57" s="59">
        <f>ROUND(A!N57/2,2)</f>
        <v>34.119999999999997</v>
      </c>
      <c r="O57" s="59">
        <f>ROUND(A!P57/2,2)</f>
        <v>34.57</v>
      </c>
      <c r="P57" s="59">
        <f>ROUND(A!Q57/2,2)</f>
        <v>34.57</v>
      </c>
      <c r="Q57" s="59">
        <f>ROUND(A!R57/2,2)</f>
        <v>34.57</v>
      </c>
      <c r="R57" s="59">
        <f>ROUND(A!S57/2,2)</f>
        <v>34.57</v>
      </c>
      <c r="S57" s="59">
        <f>ROUND(A!T57/2,2)</f>
        <v>34.57</v>
      </c>
      <c r="U57" s="59">
        <f>ROUND(A!W57/2,2)</f>
        <v>34.57</v>
      </c>
    </row>
    <row r="58" spans="1:21" ht="15" hidden="1" outlineLevel="1" thickBot="1">
      <c r="A58" s="54">
        <f t="shared" si="1"/>
        <v>50</v>
      </c>
      <c r="C58" s="59">
        <f>ROUND(A!C58/2,2)</f>
        <v>34.119999999999997</v>
      </c>
      <c r="D58" s="59">
        <f>ROUND(A!D58/2,2)</f>
        <v>34.119999999999997</v>
      </c>
      <c r="E58" s="59">
        <f>ROUND(A!E58/2,2)</f>
        <v>34.119999999999997</v>
      </c>
      <c r="G58" s="59">
        <f>ROUND(A!G58/2,2)</f>
        <v>34.119999999999997</v>
      </c>
      <c r="H58" s="59">
        <f>ROUND(A!H58/2,2)</f>
        <v>34.119999999999997</v>
      </c>
      <c r="I58" s="59">
        <f>ROUND(A!I58/2,2)</f>
        <v>34.119999999999997</v>
      </c>
      <c r="J58" s="59">
        <f>ROUND(A!J58/2,2)</f>
        <v>34.119999999999997</v>
      </c>
      <c r="K58" s="59">
        <f>ROUND(A!K58/2,2)</f>
        <v>34.119999999999997</v>
      </c>
      <c r="M58" s="59">
        <f>ROUND(A!N58/2,2)</f>
        <v>34.119999999999997</v>
      </c>
      <c r="O58" s="59">
        <f>ROUND(A!P58/2,2)</f>
        <v>34.57</v>
      </c>
      <c r="P58" s="59">
        <f>ROUND(A!Q58/2,2)</f>
        <v>34.57</v>
      </c>
      <c r="Q58" s="59">
        <f>ROUND(A!R58/2,2)</f>
        <v>34.57</v>
      </c>
      <c r="R58" s="59">
        <f>ROUND(A!S58/2,2)</f>
        <v>34.57</v>
      </c>
      <c r="S58" s="59">
        <f>ROUND(A!T58/2,2)</f>
        <v>34.57</v>
      </c>
      <c r="U58" s="59">
        <f>ROUND(A!W58/2,2)</f>
        <v>34.57</v>
      </c>
    </row>
    <row r="59" spans="1:21" ht="15" hidden="1" outlineLevel="1" thickBot="1">
      <c r="A59" s="54">
        <f t="shared" si="1"/>
        <v>51</v>
      </c>
      <c r="C59" s="59">
        <f>ROUND(A!C59/2,2)</f>
        <v>34.119999999999997</v>
      </c>
      <c r="D59" s="59">
        <f>ROUND(A!D59/2,2)</f>
        <v>34.119999999999997</v>
      </c>
      <c r="E59" s="59">
        <f>ROUND(A!E59/2,2)</f>
        <v>34.119999999999997</v>
      </c>
      <c r="G59" s="59">
        <f>ROUND(A!G59/2,2)</f>
        <v>34.119999999999997</v>
      </c>
      <c r="H59" s="59">
        <f>ROUND(A!H59/2,2)</f>
        <v>34.119999999999997</v>
      </c>
      <c r="I59" s="59">
        <f>ROUND(A!I59/2,2)</f>
        <v>34.119999999999997</v>
      </c>
      <c r="J59" s="59">
        <f>ROUND(A!J59/2,2)</f>
        <v>34.119999999999997</v>
      </c>
      <c r="K59" s="59">
        <f>ROUND(A!K59/2,2)</f>
        <v>34.119999999999997</v>
      </c>
      <c r="M59" s="59">
        <f>ROUND(A!N59/2,2)</f>
        <v>34.119999999999997</v>
      </c>
      <c r="O59" s="59">
        <f>ROUND(A!P59/2,2)</f>
        <v>34.57</v>
      </c>
      <c r="P59" s="59">
        <f>ROUND(A!Q59/2,2)</f>
        <v>34.57</v>
      </c>
      <c r="Q59" s="59">
        <f>ROUND(A!R59/2,2)</f>
        <v>34.57</v>
      </c>
      <c r="R59" s="59">
        <f>ROUND(A!S59/2,2)</f>
        <v>34.57</v>
      </c>
      <c r="S59" s="59">
        <f>ROUND(A!T59/2,2)</f>
        <v>34.57</v>
      </c>
      <c r="U59" s="59">
        <f>ROUND(A!W59/2,2)</f>
        <v>34.57</v>
      </c>
    </row>
    <row r="60" spans="1:21" ht="15" hidden="1" outlineLevel="1" thickBot="1">
      <c r="A60" s="54">
        <f t="shared" si="1"/>
        <v>52</v>
      </c>
      <c r="C60" s="59">
        <f>ROUND(A!C60/2,2)</f>
        <v>34.119999999999997</v>
      </c>
      <c r="D60" s="59">
        <f>ROUND(A!D60/2,2)</f>
        <v>34.119999999999997</v>
      </c>
      <c r="E60" s="59">
        <f>ROUND(A!E60/2,2)</f>
        <v>34.119999999999997</v>
      </c>
      <c r="G60" s="59">
        <f>ROUND(A!G60/2,2)</f>
        <v>34.119999999999997</v>
      </c>
      <c r="H60" s="59">
        <f>ROUND(A!H60/2,2)</f>
        <v>34.119999999999997</v>
      </c>
      <c r="I60" s="59">
        <f>ROUND(A!I60/2,2)</f>
        <v>34.119999999999997</v>
      </c>
      <c r="J60" s="59">
        <f>ROUND(A!J60/2,2)</f>
        <v>34.119999999999997</v>
      </c>
      <c r="K60" s="59">
        <f>ROUND(A!K60/2,2)</f>
        <v>34.119999999999997</v>
      </c>
      <c r="M60" s="59">
        <f>ROUND(A!N60/2,2)</f>
        <v>34.119999999999997</v>
      </c>
      <c r="O60" s="59">
        <f>ROUND(A!P60/2,2)</f>
        <v>34.57</v>
      </c>
      <c r="P60" s="59">
        <f>ROUND(A!Q60/2,2)</f>
        <v>34.57</v>
      </c>
      <c r="Q60" s="59">
        <f>ROUND(A!R60/2,2)</f>
        <v>34.57</v>
      </c>
      <c r="R60" s="59">
        <f>ROUND(A!S60/2,2)</f>
        <v>34.57</v>
      </c>
      <c r="S60" s="59">
        <f>ROUND(A!T60/2,2)</f>
        <v>34.57</v>
      </c>
      <c r="U60" s="59">
        <f>ROUND(A!W60/2,2)</f>
        <v>34.57</v>
      </c>
    </row>
    <row r="61" spans="1:21" ht="15" hidden="1" outlineLevel="1" thickBot="1">
      <c r="A61" s="54">
        <f t="shared" si="1"/>
        <v>53</v>
      </c>
      <c r="C61" s="59">
        <f>ROUND(A!C61/2,2)</f>
        <v>34.119999999999997</v>
      </c>
      <c r="D61" s="59">
        <f>ROUND(A!D61/2,2)</f>
        <v>34.119999999999997</v>
      </c>
      <c r="E61" s="59">
        <f>ROUND(A!E61/2,2)</f>
        <v>34.119999999999997</v>
      </c>
      <c r="G61" s="59">
        <f>ROUND(A!G61/2,2)</f>
        <v>34.119999999999997</v>
      </c>
      <c r="H61" s="59">
        <f>ROUND(A!H61/2,2)</f>
        <v>34.119999999999997</v>
      </c>
      <c r="I61" s="59">
        <f>ROUND(A!I61/2,2)</f>
        <v>34.119999999999997</v>
      </c>
      <c r="J61" s="59">
        <f>ROUND(A!J61/2,2)</f>
        <v>34.119999999999997</v>
      </c>
      <c r="K61" s="59">
        <f>ROUND(A!K61/2,2)</f>
        <v>34.119999999999997</v>
      </c>
      <c r="M61" s="59">
        <f>ROUND(A!N61/2,2)</f>
        <v>34.119999999999997</v>
      </c>
      <c r="O61" s="59">
        <f>ROUND(A!P61/2,2)</f>
        <v>34.57</v>
      </c>
      <c r="P61" s="59">
        <f>ROUND(A!Q61/2,2)</f>
        <v>34.57</v>
      </c>
      <c r="Q61" s="59">
        <f>ROUND(A!R61/2,2)</f>
        <v>34.57</v>
      </c>
      <c r="R61" s="59">
        <f>ROUND(A!S61/2,2)</f>
        <v>34.57</v>
      </c>
      <c r="S61" s="59">
        <f>ROUND(A!T61/2,2)</f>
        <v>34.57</v>
      </c>
      <c r="U61" s="59">
        <f>ROUND(A!W61/2,2)</f>
        <v>34.57</v>
      </c>
    </row>
    <row r="62" spans="1:21" ht="15" hidden="1" outlineLevel="1" thickBot="1">
      <c r="A62" s="54">
        <f t="shared" si="1"/>
        <v>54</v>
      </c>
      <c r="C62" s="59">
        <f>ROUND(A!C62/2,2)</f>
        <v>34.119999999999997</v>
      </c>
      <c r="D62" s="59">
        <f>ROUND(A!D62/2,2)</f>
        <v>34.119999999999997</v>
      </c>
      <c r="E62" s="59">
        <f>ROUND(A!E62/2,2)</f>
        <v>34.119999999999997</v>
      </c>
      <c r="G62" s="59">
        <f>ROUND(A!G62/2,2)</f>
        <v>34.119999999999997</v>
      </c>
      <c r="H62" s="59">
        <f>ROUND(A!H62/2,2)</f>
        <v>34.119999999999997</v>
      </c>
      <c r="I62" s="59">
        <f>ROUND(A!I62/2,2)</f>
        <v>34.119999999999997</v>
      </c>
      <c r="J62" s="59">
        <f>ROUND(A!J62/2,2)</f>
        <v>34.119999999999997</v>
      </c>
      <c r="K62" s="59">
        <f>ROUND(A!K62/2,2)</f>
        <v>34.119999999999997</v>
      </c>
      <c r="M62" s="59">
        <f>ROUND(A!N62/2,2)</f>
        <v>34.119999999999997</v>
      </c>
      <c r="O62" s="59">
        <f>ROUND(A!P62/2,2)</f>
        <v>34.57</v>
      </c>
      <c r="P62" s="59">
        <f>ROUND(A!Q62/2,2)</f>
        <v>34.57</v>
      </c>
      <c r="Q62" s="59">
        <f>ROUND(A!R62/2,2)</f>
        <v>34.57</v>
      </c>
      <c r="R62" s="59">
        <f>ROUND(A!S62/2,2)</f>
        <v>34.57</v>
      </c>
      <c r="S62" s="59">
        <f>ROUND(A!T62/2,2)</f>
        <v>34.57</v>
      </c>
      <c r="U62" s="59">
        <f>ROUND(A!W62/2,2)</f>
        <v>34.57</v>
      </c>
    </row>
    <row r="63" spans="1:21" ht="15" hidden="1" outlineLevel="1" thickBot="1">
      <c r="A63" s="54">
        <f t="shared" si="1"/>
        <v>55</v>
      </c>
      <c r="C63" s="59">
        <f>ROUND(A!C63/2,2)</f>
        <v>34.119999999999997</v>
      </c>
      <c r="D63" s="59">
        <f>ROUND(A!D63/2,2)</f>
        <v>34.119999999999997</v>
      </c>
      <c r="E63" s="59">
        <f>ROUND(A!E63/2,2)</f>
        <v>34.119999999999997</v>
      </c>
      <c r="G63" s="59">
        <f>ROUND(A!G63/2,2)</f>
        <v>34.119999999999997</v>
      </c>
      <c r="H63" s="59">
        <f>ROUND(A!H63/2,2)</f>
        <v>34.119999999999997</v>
      </c>
      <c r="I63" s="59">
        <f>ROUND(A!I63/2,2)</f>
        <v>34.119999999999997</v>
      </c>
      <c r="J63" s="59">
        <f>ROUND(A!J63/2,2)</f>
        <v>34.119999999999997</v>
      </c>
      <c r="K63" s="59">
        <f>ROUND(A!K63/2,2)</f>
        <v>34.119999999999997</v>
      </c>
      <c r="M63" s="59">
        <f>ROUND(A!N63/2,2)</f>
        <v>34.119999999999997</v>
      </c>
      <c r="O63" s="59">
        <f>ROUND(A!P63/2,2)</f>
        <v>34.57</v>
      </c>
      <c r="P63" s="59">
        <f>ROUND(A!Q63/2,2)</f>
        <v>34.57</v>
      </c>
      <c r="Q63" s="59">
        <f>ROUND(A!R63/2,2)</f>
        <v>34.57</v>
      </c>
      <c r="R63" s="59">
        <f>ROUND(A!S63/2,2)</f>
        <v>34.57</v>
      </c>
      <c r="S63" s="59">
        <f>ROUND(A!T63/2,2)</f>
        <v>34.57</v>
      </c>
      <c r="U63" s="59">
        <f>ROUND(A!W63/2,2)</f>
        <v>34.57</v>
      </c>
    </row>
    <row r="64" spans="1:21" ht="15" collapsed="1" thickBot="1">
      <c r="A64" s="54">
        <f t="shared" si="1"/>
        <v>56</v>
      </c>
      <c r="C64" s="59">
        <f>ROUND(A!C64/2,2)</f>
        <v>34.119999999999997</v>
      </c>
      <c r="D64" s="59">
        <f>ROUND(A!D64/2,2)</f>
        <v>34.119999999999997</v>
      </c>
      <c r="E64" s="59">
        <f>ROUND(A!E64/2,2)</f>
        <v>34.119999999999997</v>
      </c>
      <c r="G64" s="59">
        <f>ROUND(A!G64/2,2)</f>
        <v>34.119999999999997</v>
      </c>
      <c r="H64" s="59">
        <f>ROUND(A!H64/2,2)</f>
        <v>34.119999999999997</v>
      </c>
      <c r="I64" s="59">
        <f>ROUND(A!I64/2,2)</f>
        <v>34.119999999999997</v>
      </c>
      <c r="J64" s="59">
        <f>ROUND(A!J64/2,2)</f>
        <v>34.119999999999997</v>
      </c>
      <c r="K64" s="59">
        <f>ROUND(A!K64/2,2)</f>
        <v>34.119999999999997</v>
      </c>
      <c r="M64" s="59">
        <f>ROUND(A!N64/2,2)</f>
        <v>34.119999999999997</v>
      </c>
      <c r="O64" s="59">
        <f>ROUND(A!P64/2,2)</f>
        <v>34.57</v>
      </c>
      <c r="P64" s="59">
        <f>ROUND(A!Q64/2,2)</f>
        <v>34.57</v>
      </c>
      <c r="Q64" s="59">
        <f>ROUND(A!R64/2,2)</f>
        <v>34.57</v>
      </c>
      <c r="R64" s="59">
        <f>ROUND(A!S64/2,2)</f>
        <v>34.57</v>
      </c>
      <c r="S64" s="59">
        <f>ROUND(A!T64/2,2)</f>
        <v>34.57</v>
      </c>
      <c r="U64" s="59">
        <f>ROUND(A!W64/2,2)</f>
        <v>34.57</v>
      </c>
    </row>
    <row r="65" spans="1:21" ht="15" thickBot="1">
      <c r="A65" s="54">
        <f t="shared" si="1"/>
        <v>57</v>
      </c>
      <c r="C65" s="59">
        <f>ROUND(A!C65/2,2)</f>
        <v>34.119999999999997</v>
      </c>
      <c r="D65" s="59">
        <f>ROUND(A!D65/2,2)</f>
        <v>34.119999999999997</v>
      </c>
      <c r="E65" s="59">
        <f>ROUND(A!E65/2,2)</f>
        <v>34.119999999999997</v>
      </c>
      <c r="G65" s="59">
        <f>ROUND(A!G65/2,2)</f>
        <v>34.119999999999997</v>
      </c>
      <c r="H65" s="59">
        <f>ROUND(A!H65/2,2)</f>
        <v>34.119999999999997</v>
      </c>
      <c r="I65" s="59">
        <f>ROUND(A!I65/2,2)</f>
        <v>34.119999999999997</v>
      </c>
      <c r="J65" s="59">
        <f>ROUND(A!J65/2,2)</f>
        <v>34.119999999999997</v>
      </c>
      <c r="K65" s="59">
        <f>ROUND(A!K65/2,2)</f>
        <v>34.119999999999997</v>
      </c>
      <c r="M65" s="59">
        <f>ROUND(A!N65/2,2)</f>
        <v>34.119999999999997</v>
      </c>
      <c r="O65" s="59">
        <f>ROUND(A!P65/2,2)</f>
        <v>34.57</v>
      </c>
      <c r="P65" s="59">
        <f>ROUND(A!Q65/2,2)</f>
        <v>34.57</v>
      </c>
      <c r="Q65" s="59">
        <f>ROUND(A!R65/2,2)</f>
        <v>34.57</v>
      </c>
      <c r="R65" s="59">
        <f>ROUND(A!S65/2,2)</f>
        <v>34.57</v>
      </c>
      <c r="S65" s="59">
        <f>ROUND(A!T65/2,2)</f>
        <v>34.57</v>
      </c>
      <c r="U65" s="59">
        <f>ROUND(A!W65/2,2)</f>
        <v>34.57</v>
      </c>
    </row>
    <row r="66" spans="1:21" ht="15" thickBot="1">
      <c r="A66" s="54">
        <f t="shared" si="1"/>
        <v>58</v>
      </c>
      <c r="C66" s="59">
        <f>ROUND(A!C66/2,2)</f>
        <v>34.119999999999997</v>
      </c>
      <c r="D66" s="59">
        <f>ROUND(A!D66/2,2)</f>
        <v>34.119999999999997</v>
      </c>
      <c r="E66" s="59">
        <f>ROUND(A!E66/2,2)</f>
        <v>34.119999999999997</v>
      </c>
      <c r="G66" s="59">
        <f>ROUND(A!G66/2,2)</f>
        <v>34.119999999999997</v>
      </c>
      <c r="H66" s="59">
        <f>ROUND(A!H66/2,2)</f>
        <v>34.119999999999997</v>
      </c>
      <c r="I66" s="59">
        <f>ROUND(A!I66/2,2)</f>
        <v>34.119999999999997</v>
      </c>
      <c r="J66" s="59">
        <f>ROUND(A!J66/2,2)</f>
        <v>34.119999999999997</v>
      </c>
      <c r="K66" s="59">
        <f>ROUND(A!K66/2,2)</f>
        <v>34.119999999999997</v>
      </c>
      <c r="M66" s="59">
        <f>ROUND(A!N66/2,2)</f>
        <v>34.119999999999997</v>
      </c>
      <c r="O66" s="59">
        <f>ROUND(A!P66/2,2)</f>
        <v>34.57</v>
      </c>
      <c r="P66" s="59">
        <f>ROUND(A!Q66/2,2)</f>
        <v>34.57</v>
      </c>
      <c r="Q66" s="59">
        <f>ROUND(A!R66/2,2)</f>
        <v>34.57</v>
      </c>
      <c r="R66" s="59">
        <f>ROUND(A!S66/2,2)</f>
        <v>34.57</v>
      </c>
      <c r="S66" s="59">
        <f>ROUND(A!T66/2,2)</f>
        <v>34.57</v>
      </c>
      <c r="U66" s="59">
        <f>ROUND(A!W66/2,2)</f>
        <v>34.57</v>
      </c>
    </row>
    <row r="67" spans="1:21" ht="15" thickBot="1">
      <c r="A67" s="54">
        <f t="shared" si="1"/>
        <v>59</v>
      </c>
      <c r="C67" s="59">
        <f>ROUND(A!C67/2,2)</f>
        <v>34.31</v>
      </c>
      <c r="D67" s="59">
        <f>ROUND(A!D67/2,2)</f>
        <v>34.119999999999997</v>
      </c>
      <c r="E67" s="59">
        <f>ROUND(A!E67/2,2)</f>
        <v>34.119999999999997</v>
      </c>
      <c r="G67" s="59">
        <f>ROUND(A!G67/2,2)</f>
        <v>34.119999999999997</v>
      </c>
      <c r="H67" s="59">
        <f>ROUND(A!H67/2,2)</f>
        <v>34.119999999999997</v>
      </c>
      <c r="I67" s="59">
        <f>ROUND(A!I67/2,2)</f>
        <v>34.119999999999997</v>
      </c>
      <c r="J67" s="59">
        <f>ROUND(A!J67/2,2)</f>
        <v>34.119999999999997</v>
      </c>
      <c r="K67" s="59">
        <f>ROUND(A!K67/2,2)</f>
        <v>34.119999999999997</v>
      </c>
      <c r="M67" s="59">
        <f>ROUND(A!N67/2,2)</f>
        <v>34.119999999999997</v>
      </c>
      <c r="O67" s="59">
        <f>ROUND(A!P67/2,2)</f>
        <v>34.75</v>
      </c>
      <c r="P67" s="59">
        <f>ROUND(A!Q67/2,2)</f>
        <v>34.75</v>
      </c>
      <c r="Q67" s="59">
        <f>ROUND(A!R67/2,2)</f>
        <v>34.75</v>
      </c>
      <c r="R67" s="59">
        <f>ROUND(A!S67/2,2)</f>
        <v>34.75</v>
      </c>
      <c r="S67" s="59">
        <f>ROUND(A!T67/2,2)</f>
        <v>34.75</v>
      </c>
      <c r="U67" s="59">
        <f>ROUND(A!W67/2,2)</f>
        <v>34.75</v>
      </c>
    </row>
    <row r="68" spans="1:21" ht="15" thickBot="1">
      <c r="A68" s="54">
        <f t="shared" si="1"/>
        <v>60</v>
      </c>
      <c r="C68" s="59">
        <f>ROUND(A!C68/2,2)</f>
        <v>34.74</v>
      </c>
      <c r="D68" s="59">
        <f>ROUND(A!D68/2,2)</f>
        <v>34.119999999999997</v>
      </c>
      <c r="E68" s="59">
        <f>ROUND(A!E68/2,2)</f>
        <v>34.119999999999997</v>
      </c>
      <c r="G68" s="59">
        <f>ROUND(A!G68/2,2)</f>
        <v>34.119999999999997</v>
      </c>
      <c r="H68" s="59">
        <f>ROUND(A!H68/2,2)</f>
        <v>34.119999999999997</v>
      </c>
      <c r="I68" s="59">
        <f>ROUND(A!I68/2,2)</f>
        <v>34.119999999999997</v>
      </c>
      <c r="J68" s="59">
        <f>ROUND(A!J68/2,2)</f>
        <v>34.119999999999997</v>
      </c>
      <c r="K68" s="59">
        <f>ROUND(A!K68/2,2)</f>
        <v>34.119999999999997</v>
      </c>
      <c r="M68" s="59">
        <f>ROUND(A!N68/2,2)</f>
        <v>34.119999999999997</v>
      </c>
      <c r="O68" s="59">
        <f>ROUND(A!P68/2,2)</f>
        <v>35.15</v>
      </c>
      <c r="P68" s="59">
        <f>ROUND(A!Q68/2,2)</f>
        <v>35.15</v>
      </c>
      <c r="Q68" s="59">
        <f>ROUND(A!R68/2,2)</f>
        <v>35.15</v>
      </c>
      <c r="R68" s="59">
        <f>ROUND(A!S68/2,2)</f>
        <v>35.15</v>
      </c>
      <c r="S68" s="59">
        <f>ROUND(A!T68/2,2)</f>
        <v>35.15</v>
      </c>
      <c r="U68" s="59">
        <f>ROUND(A!W68/2,2)</f>
        <v>35.15</v>
      </c>
    </row>
    <row r="69" spans="1:21" ht="15" thickBot="1">
      <c r="A69" s="54">
        <f t="shared" si="1"/>
        <v>61</v>
      </c>
      <c r="C69" s="59">
        <f>ROUND(A!C69/2,2)</f>
        <v>35.17</v>
      </c>
      <c r="D69" s="59">
        <f>ROUND(A!D69/2,2)</f>
        <v>34.119999999999997</v>
      </c>
      <c r="E69" s="59">
        <f>ROUND(A!E69/2,2)</f>
        <v>34.119999999999997</v>
      </c>
      <c r="G69" s="59">
        <f>ROUND(A!G69/2,2)</f>
        <v>34.119999999999997</v>
      </c>
      <c r="H69" s="59">
        <f>ROUND(A!H69/2,2)</f>
        <v>34.119999999999997</v>
      </c>
      <c r="I69" s="59">
        <f>ROUND(A!I69/2,2)</f>
        <v>34.119999999999997</v>
      </c>
      <c r="J69" s="59">
        <f>ROUND(A!J69/2,2)</f>
        <v>34.119999999999997</v>
      </c>
      <c r="K69" s="59">
        <f>ROUND(A!K69/2,2)</f>
        <v>34.119999999999997</v>
      </c>
      <c r="M69" s="59">
        <f>ROUND(A!N69/2,2)</f>
        <v>34.119999999999997</v>
      </c>
      <c r="O69" s="59">
        <f>ROUND(A!P69/2,2)</f>
        <v>35.54</v>
      </c>
      <c r="P69" s="59">
        <f>ROUND(A!Q69/2,2)</f>
        <v>35.54</v>
      </c>
      <c r="Q69" s="59">
        <f>ROUND(A!R69/2,2)</f>
        <v>35.54</v>
      </c>
      <c r="R69" s="59">
        <f>ROUND(A!S69/2,2)</f>
        <v>35.54</v>
      </c>
      <c r="S69" s="59">
        <f>ROUND(A!T69/2,2)</f>
        <v>35.54</v>
      </c>
      <c r="U69" s="59">
        <f>ROUND(A!W69/2,2)</f>
        <v>35.54</v>
      </c>
    </row>
    <row r="70" spans="1:21" ht="15" thickBot="1">
      <c r="A70" s="54">
        <f t="shared" si="1"/>
        <v>62</v>
      </c>
      <c r="C70" s="59">
        <f>ROUND(A!C70/2,2)</f>
        <v>35.65</v>
      </c>
      <c r="D70" s="59">
        <f>ROUND(A!D70/2,2)</f>
        <v>34.119999999999997</v>
      </c>
      <c r="E70" s="59">
        <f>ROUND(A!E70/2,2)</f>
        <v>34.119999999999997</v>
      </c>
      <c r="G70" s="59">
        <f>ROUND(A!G70/2,2)</f>
        <v>34.119999999999997</v>
      </c>
      <c r="H70" s="59">
        <f>ROUND(A!H70/2,2)</f>
        <v>34.119999999999997</v>
      </c>
      <c r="I70" s="59">
        <f>ROUND(A!I70/2,2)</f>
        <v>34.119999999999997</v>
      </c>
      <c r="J70" s="59">
        <f>ROUND(A!J70/2,2)</f>
        <v>34.119999999999997</v>
      </c>
      <c r="K70" s="59">
        <f>ROUND(A!K70/2,2)</f>
        <v>34.119999999999997</v>
      </c>
      <c r="M70" s="59">
        <f>ROUND(A!N70/2,2)</f>
        <v>34.119999999999997</v>
      </c>
      <c r="O70" s="59">
        <f>ROUND(A!P70/2,2)</f>
        <v>35.99</v>
      </c>
      <c r="P70" s="59">
        <f>ROUND(A!Q70/2,2)</f>
        <v>35.99</v>
      </c>
      <c r="Q70" s="59">
        <f>ROUND(A!R70/2,2)</f>
        <v>35.99</v>
      </c>
      <c r="R70" s="59">
        <f>ROUND(A!S70/2,2)</f>
        <v>35.99</v>
      </c>
      <c r="S70" s="59">
        <f>ROUND(A!T70/2,2)</f>
        <v>35.99</v>
      </c>
      <c r="U70" s="59">
        <f>ROUND(A!W70/2,2)</f>
        <v>35.99</v>
      </c>
    </row>
    <row r="71" spans="1:21" ht="15" thickBot="1">
      <c r="A71" s="54">
        <f t="shared" si="1"/>
        <v>63</v>
      </c>
      <c r="C71" s="59">
        <f>ROUND(A!C71/2,2)</f>
        <v>36.14</v>
      </c>
      <c r="D71" s="59">
        <f>ROUND(A!D71/2,2)</f>
        <v>34.119999999999997</v>
      </c>
      <c r="E71" s="59">
        <f>ROUND(A!E71/2,2)</f>
        <v>34.119999999999997</v>
      </c>
      <c r="G71" s="59">
        <f>ROUND(A!G71/2,2)</f>
        <v>34.119999999999997</v>
      </c>
      <c r="H71" s="59">
        <f>ROUND(A!H71/2,2)</f>
        <v>34.119999999999997</v>
      </c>
      <c r="I71" s="59">
        <f>ROUND(A!I71/2,2)</f>
        <v>34.119999999999997</v>
      </c>
      <c r="J71" s="59">
        <f>ROUND(A!J71/2,2)</f>
        <v>34.119999999999997</v>
      </c>
      <c r="K71" s="59">
        <f>ROUND(A!K71/2,2)</f>
        <v>34.119999999999997</v>
      </c>
      <c r="M71" s="59">
        <f>ROUND(A!N71/2,2)</f>
        <v>34.119999999999997</v>
      </c>
      <c r="O71" s="59">
        <f>ROUND(A!P71/2,2)</f>
        <v>36.44</v>
      </c>
      <c r="P71" s="59">
        <f>ROUND(A!Q71/2,2)</f>
        <v>36.44</v>
      </c>
      <c r="Q71" s="59">
        <f>ROUND(A!R71/2,2)</f>
        <v>36.44</v>
      </c>
      <c r="R71" s="59">
        <f>ROUND(A!S71/2,2)</f>
        <v>36.44</v>
      </c>
      <c r="S71" s="59">
        <f>ROUND(A!T71/2,2)</f>
        <v>36.44</v>
      </c>
      <c r="U71" s="59">
        <f>ROUND(A!W71/2,2)</f>
        <v>36.44</v>
      </c>
    </row>
    <row r="72" spans="1:21" ht="15" thickBot="1">
      <c r="A72" s="54">
        <f t="shared" si="1"/>
        <v>64</v>
      </c>
      <c r="C72" s="59">
        <f>ROUND(A!C72/2,2)</f>
        <v>36.72</v>
      </c>
      <c r="D72" s="59">
        <f>ROUND(A!D72/2,2)</f>
        <v>34.119999999999997</v>
      </c>
      <c r="E72" s="59">
        <f>ROUND(A!E72/2,2)</f>
        <v>34.119999999999997</v>
      </c>
      <c r="G72" s="59">
        <f>ROUND(A!G72/2,2)</f>
        <v>34.119999999999997</v>
      </c>
      <c r="H72" s="59">
        <f>ROUND(A!H72/2,2)</f>
        <v>34.119999999999997</v>
      </c>
      <c r="I72" s="59">
        <f>ROUND(A!I72/2,2)</f>
        <v>34.119999999999997</v>
      </c>
      <c r="J72" s="59">
        <f>ROUND(A!J72/2,2)</f>
        <v>34.119999999999997</v>
      </c>
      <c r="K72" s="59">
        <f>ROUND(A!K72/2,2)</f>
        <v>34.119999999999997</v>
      </c>
      <c r="M72" s="59">
        <f>ROUND(A!N72/2,2)</f>
        <v>34.119999999999997</v>
      </c>
      <c r="O72" s="59">
        <f>ROUND(A!P72/2,2)</f>
        <v>36.97</v>
      </c>
      <c r="P72" s="59">
        <f>ROUND(A!Q72/2,2)</f>
        <v>36.590000000000003</v>
      </c>
      <c r="Q72" s="59">
        <f>ROUND(A!R72/2,2)</f>
        <v>36.590000000000003</v>
      </c>
      <c r="R72" s="59">
        <f>ROUND(A!S72/2,2)</f>
        <v>36.590000000000003</v>
      </c>
      <c r="S72" s="59">
        <f>ROUND(A!T72/2,2)</f>
        <v>36.590000000000003</v>
      </c>
      <c r="U72" s="59">
        <f>ROUND(A!W72/2,2)</f>
        <v>36.590000000000003</v>
      </c>
    </row>
    <row r="73" spans="1:21" ht="15" thickBot="1">
      <c r="A73" s="54">
        <f t="shared" si="1"/>
        <v>65</v>
      </c>
      <c r="C73" s="59">
        <f>ROUND(A!C73/2,2)</f>
        <v>37.17</v>
      </c>
      <c r="D73" s="59">
        <f>ROUND(A!D73/2,2)</f>
        <v>34.32</v>
      </c>
      <c r="E73" s="59">
        <f>ROUND(A!E73/2,2)</f>
        <v>34.32</v>
      </c>
      <c r="G73" s="59">
        <f>ROUND(A!G73/2,2)</f>
        <v>34.32</v>
      </c>
      <c r="H73" s="59">
        <f>ROUND(A!H73/2,2)</f>
        <v>34.119999999999997</v>
      </c>
      <c r="I73" s="59">
        <f>ROUND(A!I73/2,2)</f>
        <v>34.119999999999997</v>
      </c>
      <c r="J73" s="59">
        <f>ROUND(A!J73/2,2)</f>
        <v>34.119999999999997</v>
      </c>
      <c r="K73" s="59">
        <f>ROUND(A!K73/2,2)</f>
        <v>34.119999999999997</v>
      </c>
      <c r="M73" s="59">
        <f>ROUND(A!N73/2,2)</f>
        <v>34.119999999999997</v>
      </c>
      <c r="O73" s="59">
        <f>ROUND(A!P73/2,2)</f>
        <v>37.4</v>
      </c>
      <c r="P73" s="59">
        <f>ROUND(A!Q73/2,2)</f>
        <v>36.590000000000003</v>
      </c>
      <c r="Q73" s="59">
        <f>ROUND(A!R73/2,2)</f>
        <v>36.590000000000003</v>
      </c>
      <c r="R73" s="59">
        <f>ROUND(A!S73/2,2)</f>
        <v>36.590000000000003</v>
      </c>
      <c r="S73" s="59">
        <f>ROUND(A!T73/2,2)</f>
        <v>36.590000000000003</v>
      </c>
      <c r="U73" s="59">
        <f>ROUND(A!W73/2,2)</f>
        <v>36.590000000000003</v>
      </c>
    </row>
    <row r="74" spans="1:21" ht="15" thickBot="1">
      <c r="A74" s="54">
        <f t="shared" si="1"/>
        <v>66</v>
      </c>
      <c r="C74" s="59">
        <f>ROUND(A!C74/2,2)</f>
        <v>37.61</v>
      </c>
      <c r="D74" s="59">
        <f>ROUND(A!D74/2,2)</f>
        <v>34.72</v>
      </c>
      <c r="E74" s="59">
        <f>ROUND(A!E74/2,2)</f>
        <v>34.72</v>
      </c>
      <c r="G74" s="59">
        <f>ROUND(A!G74/2,2)</f>
        <v>34.5</v>
      </c>
      <c r="H74" s="59">
        <f>ROUND(A!H74/2,2)</f>
        <v>34.119999999999997</v>
      </c>
      <c r="I74" s="59">
        <f>ROUND(A!I74/2,2)</f>
        <v>34.119999999999997</v>
      </c>
      <c r="J74" s="59">
        <f>ROUND(A!J74/2,2)</f>
        <v>34.119999999999997</v>
      </c>
      <c r="K74" s="59">
        <f>ROUND(A!K74/2,2)</f>
        <v>34.119999999999997</v>
      </c>
      <c r="M74" s="59">
        <f>ROUND(A!N74/2,2)</f>
        <v>34.119999999999997</v>
      </c>
      <c r="O74" s="59">
        <f>ROUND(A!P74/2,2)</f>
        <v>37.58</v>
      </c>
      <c r="P74" s="59">
        <f>ROUND(A!Q74/2,2)</f>
        <v>36.590000000000003</v>
      </c>
      <c r="Q74" s="59">
        <f>ROUND(A!R74/2,2)</f>
        <v>36.590000000000003</v>
      </c>
      <c r="R74" s="59">
        <f>ROUND(A!S74/2,2)</f>
        <v>36.590000000000003</v>
      </c>
      <c r="S74" s="59">
        <f>ROUND(A!T74/2,2)</f>
        <v>36.590000000000003</v>
      </c>
      <c r="U74" s="59">
        <f>ROUND(A!W74/2,2)</f>
        <v>36.590000000000003</v>
      </c>
    </row>
    <row r="75" spans="1:21" ht="15" thickBot="1">
      <c r="A75" s="54">
        <f t="shared" ref="A75:A82" si="2">A74+1</f>
        <v>67</v>
      </c>
      <c r="C75" s="59">
        <f>ROUND(A!C75/2,2)</f>
        <v>38.1</v>
      </c>
      <c r="D75" s="59">
        <f>ROUND(A!D75/2,2)</f>
        <v>35.17</v>
      </c>
      <c r="E75" s="59">
        <f>ROUND(A!E75/2,2)</f>
        <v>35.17</v>
      </c>
      <c r="G75" s="59">
        <f>ROUND(A!G75/2,2)</f>
        <v>34.5</v>
      </c>
      <c r="H75" s="59">
        <f>ROUND(A!H75/2,2)</f>
        <v>34.119999999999997</v>
      </c>
      <c r="I75" s="59">
        <f>ROUND(A!I75/2,2)</f>
        <v>34.119999999999997</v>
      </c>
      <c r="J75" s="59">
        <f>ROUND(A!J75/2,2)</f>
        <v>34.119999999999997</v>
      </c>
      <c r="K75" s="59">
        <f>ROUND(A!K75/2,2)</f>
        <v>34.119999999999997</v>
      </c>
      <c r="M75" s="59">
        <f>ROUND(A!N75/2,2)</f>
        <v>34.119999999999997</v>
      </c>
      <c r="O75" s="59">
        <f>ROUND(A!P75/2,2)</f>
        <v>37.58</v>
      </c>
      <c r="P75" s="59">
        <f>ROUND(A!Q75/2,2)</f>
        <v>36.590000000000003</v>
      </c>
      <c r="Q75" s="59">
        <f>ROUND(A!R75/2,2)</f>
        <v>36.590000000000003</v>
      </c>
      <c r="R75" s="59">
        <f>ROUND(A!S75/2,2)</f>
        <v>36.590000000000003</v>
      </c>
      <c r="S75" s="59">
        <f>ROUND(A!T75/2,2)</f>
        <v>36.590000000000003</v>
      </c>
      <c r="U75" s="59">
        <f>ROUND(A!W75/2,2)</f>
        <v>36.590000000000003</v>
      </c>
    </row>
    <row r="76" spans="1:21" ht="15" thickBot="1">
      <c r="A76" s="54">
        <f t="shared" si="2"/>
        <v>68</v>
      </c>
      <c r="C76" s="59">
        <f>ROUND(A!C76/2,2)</f>
        <v>38.58</v>
      </c>
      <c r="D76" s="59">
        <f>ROUND(A!D76/2,2)</f>
        <v>35.619999999999997</v>
      </c>
      <c r="E76" s="59">
        <f>ROUND(A!E76/2,2)</f>
        <v>35.619999999999997</v>
      </c>
      <c r="G76" s="59">
        <f>ROUND(A!G76/2,2)</f>
        <v>34.5</v>
      </c>
      <c r="H76" s="59">
        <f>ROUND(A!H76/2,2)</f>
        <v>34.119999999999997</v>
      </c>
      <c r="I76" s="59">
        <f>ROUND(A!I76/2,2)</f>
        <v>34.119999999999997</v>
      </c>
      <c r="J76" s="59">
        <f>ROUND(A!J76/2,2)</f>
        <v>34.119999999999997</v>
      </c>
      <c r="K76" s="59">
        <f>ROUND(A!K76/2,2)</f>
        <v>34.119999999999997</v>
      </c>
      <c r="M76" s="59">
        <f>ROUND(A!N76/2,2)</f>
        <v>34.119999999999997</v>
      </c>
      <c r="O76" s="59">
        <f>ROUND(A!P76/2,2)</f>
        <v>37.58</v>
      </c>
      <c r="P76" s="59">
        <f>ROUND(A!Q76/2,2)</f>
        <v>36.590000000000003</v>
      </c>
      <c r="Q76" s="59">
        <f>ROUND(A!R76/2,2)</f>
        <v>36.590000000000003</v>
      </c>
      <c r="R76" s="59">
        <f>ROUND(A!S76/2,2)</f>
        <v>36.590000000000003</v>
      </c>
      <c r="S76" s="59">
        <f>ROUND(A!T76/2,2)</f>
        <v>36.590000000000003</v>
      </c>
      <c r="U76" s="59">
        <f>ROUND(A!W76/2,2)</f>
        <v>36.590000000000003</v>
      </c>
    </row>
    <row r="77" spans="1:21" ht="15" thickBot="1">
      <c r="A77" s="54">
        <f t="shared" si="2"/>
        <v>69</v>
      </c>
      <c r="C77" s="59">
        <f>ROUND(A!C77/2,2)</f>
        <v>39.07</v>
      </c>
      <c r="D77" s="59">
        <f>ROUND(A!D77/2,2)</f>
        <v>36.07</v>
      </c>
      <c r="E77" s="59">
        <f>ROUND(A!E77/2,2)</f>
        <v>36.07</v>
      </c>
      <c r="G77" s="59">
        <f>ROUND(A!G77/2,2)</f>
        <v>34.5</v>
      </c>
      <c r="H77" s="59">
        <f>ROUND(A!H77/2,2)</f>
        <v>34.119999999999997</v>
      </c>
      <c r="I77" s="59">
        <f>ROUND(A!I77/2,2)</f>
        <v>34.119999999999997</v>
      </c>
      <c r="J77" s="59">
        <f>ROUND(A!J77/2,2)</f>
        <v>34.119999999999997</v>
      </c>
      <c r="K77" s="59">
        <f>ROUND(A!K77/2,2)</f>
        <v>34.119999999999997</v>
      </c>
      <c r="M77" s="59">
        <f>ROUND(A!N77/2,2)</f>
        <v>34.119999999999997</v>
      </c>
      <c r="O77" s="59">
        <f>ROUND(A!P77/2,2)</f>
        <v>37.58</v>
      </c>
      <c r="P77" s="59">
        <f>ROUND(A!Q77/2,2)</f>
        <v>36.590000000000003</v>
      </c>
      <c r="Q77" s="59">
        <f>ROUND(A!R77/2,2)</f>
        <v>36.590000000000003</v>
      </c>
      <c r="R77" s="59">
        <f>ROUND(A!S77/2,2)</f>
        <v>36.590000000000003</v>
      </c>
      <c r="S77" s="59">
        <f>ROUND(A!T77/2,2)</f>
        <v>36.590000000000003</v>
      </c>
      <c r="U77" s="59">
        <f>ROUND(A!W77/2,2)</f>
        <v>36.590000000000003</v>
      </c>
    </row>
    <row r="78" spans="1:21" ht="15" thickBot="1">
      <c r="A78" s="54">
        <f t="shared" si="2"/>
        <v>70</v>
      </c>
      <c r="C78" s="59">
        <f>ROUND(A!C78/2,2)</f>
        <v>39.39</v>
      </c>
      <c r="D78" s="59">
        <f>ROUND(A!D78/2,2)</f>
        <v>36.36</v>
      </c>
      <c r="E78" s="59">
        <f>ROUND(A!E78/2,2)</f>
        <v>36.36</v>
      </c>
      <c r="G78" s="59">
        <f>ROUND(A!G78/2,2)</f>
        <v>34.5</v>
      </c>
      <c r="H78" s="59">
        <f>ROUND(A!H78/2,2)</f>
        <v>34.119999999999997</v>
      </c>
      <c r="I78" s="59">
        <f>ROUND(A!I78/2,2)</f>
        <v>34.119999999999997</v>
      </c>
      <c r="J78" s="59">
        <f>ROUND(A!J78/2,2)</f>
        <v>34.119999999999997</v>
      </c>
      <c r="K78" s="59">
        <f>ROUND(A!K78/2,2)</f>
        <v>34.119999999999997</v>
      </c>
      <c r="M78" s="59">
        <f>ROUND(A!N78/2,2)</f>
        <v>34.119999999999997</v>
      </c>
      <c r="O78" s="59">
        <f>ROUND(A!P78/2,2)</f>
        <v>37.58</v>
      </c>
      <c r="P78" s="59">
        <f>ROUND(A!Q78/2,2)</f>
        <v>36.590000000000003</v>
      </c>
      <c r="Q78" s="59">
        <f>ROUND(A!R78/2,2)</f>
        <v>36.590000000000003</v>
      </c>
      <c r="R78" s="59">
        <f>ROUND(A!S78/2,2)</f>
        <v>36.590000000000003</v>
      </c>
      <c r="S78" s="59">
        <f>ROUND(A!T78/2,2)</f>
        <v>36.590000000000003</v>
      </c>
      <c r="U78" s="59">
        <f>ROUND(A!W78/2,2)</f>
        <v>36.590000000000003</v>
      </c>
    </row>
    <row r="79" spans="1:21" ht="15" thickBot="1">
      <c r="A79" s="54">
        <f t="shared" si="2"/>
        <v>71</v>
      </c>
      <c r="C79" s="59">
        <f>ROUND(A!C79/2,2)</f>
        <v>39.64</v>
      </c>
      <c r="D79" s="59">
        <f>ROUND(A!D79/2,2)</f>
        <v>36.590000000000003</v>
      </c>
      <c r="E79" s="59">
        <f>ROUND(A!E79/2,2)</f>
        <v>36.590000000000003</v>
      </c>
      <c r="G79" s="59">
        <f>ROUND(A!G79/2,2)</f>
        <v>34.5</v>
      </c>
      <c r="H79" s="59">
        <f>ROUND(A!H79/2,2)</f>
        <v>34.119999999999997</v>
      </c>
      <c r="I79" s="59">
        <f>ROUND(A!I79/2,2)</f>
        <v>34.119999999999997</v>
      </c>
      <c r="J79" s="59">
        <f>ROUND(A!J79/2,2)</f>
        <v>34.119999999999997</v>
      </c>
      <c r="K79" s="59">
        <f>ROUND(A!K79/2,2)</f>
        <v>34.119999999999997</v>
      </c>
      <c r="M79" s="59">
        <f>ROUND(A!N79/2,2)</f>
        <v>34.119999999999997</v>
      </c>
      <c r="O79" s="59">
        <f>ROUND(A!P79/2,2)</f>
        <v>37.58</v>
      </c>
      <c r="P79" s="59">
        <f>ROUND(A!Q79/2,2)</f>
        <v>36.590000000000003</v>
      </c>
      <c r="Q79" s="59">
        <f>ROUND(A!R79/2,2)</f>
        <v>36.590000000000003</v>
      </c>
      <c r="R79" s="59">
        <f>ROUND(A!S79/2,2)</f>
        <v>36.590000000000003</v>
      </c>
      <c r="S79" s="59">
        <f>ROUND(A!T79/2,2)</f>
        <v>36.590000000000003</v>
      </c>
      <c r="U79" s="59">
        <f>ROUND(A!W79/2,2)</f>
        <v>36.590000000000003</v>
      </c>
    </row>
    <row r="80" spans="1:21" ht="15" thickBot="1">
      <c r="A80" s="54">
        <f t="shared" si="2"/>
        <v>72</v>
      </c>
      <c r="C80" s="59">
        <f>ROUND(A!C80/2,2)</f>
        <v>39.89</v>
      </c>
      <c r="D80" s="59">
        <f>ROUND(A!D80/2,2)</f>
        <v>36.82</v>
      </c>
      <c r="E80" s="59">
        <f>ROUND(A!E80/2,2)</f>
        <v>36.82</v>
      </c>
      <c r="G80" s="59">
        <f>ROUND(A!G80/2,2)</f>
        <v>34.5</v>
      </c>
      <c r="H80" s="59">
        <f>ROUND(A!H80/2,2)</f>
        <v>34.119999999999997</v>
      </c>
      <c r="I80" s="59">
        <f>ROUND(A!I80/2,2)</f>
        <v>34.119999999999997</v>
      </c>
      <c r="J80" s="59">
        <f>ROUND(A!J80/2,2)</f>
        <v>34.119999999999997</v>
      </c>
      <c r="K80" s="59">
        <f>ROUND(A!K80/2,2)</f>
        <v>34.119999999999997</v>
      </c>
      <c r="M80" s="59">
        <f>ROUND(A!N80/2,2)</f>
        <v>34.119999999999997</v>
      </c>
      <c r="O80" s="59">
        <f>ROUND(A!P80/2,2)</f>
        <v>37.58</v>
      </c>
      <c r="P80" s="59">
        <f>ROUND(A!Q80/2,2)</f>
        <v>36.590000000000003</v>
      </c>
      <c r="Q80" s="59">
        <f>ROUND(A!R80/2,2)</f>
        <v>36.590000000000003</v>
      </c>
      <c r="R80" s="59">
        <f>ROUND(A!S80/2,2)</f>
        <v>36.590000000000003</v>
      </c>
      <c r="S80" s="59">
        <f>ROUND(A!T80/2,2)</f>
        <v>36.590000000000003</v>
      </c>
      <c r="U80" s="59">
        <f>ROUND(A!W80/2,2)</f>
        <v>36.590000000000003</v>
      </c>
    </row>
    <row r="81" spans="1:21" ht="15" thickBot="1">
      <c r="A81" s="54">
        <f t="shared" si="2"/>
        <v>73</v>
      </c>
      <c r="C81" s="59">
        <f>ROUND(A!C81/2,2)</f>
        <v>40.44</v>
      </c>
      <c r="D81" s="59">
        <f>ROUND(A!D81/2,2)</f>
        <v>37.33</v>
      </c>
      <c r="E81" s="59">
        <f>ROUND(A!E81/2,2)</f>
        <v>36.909999999999997</v>
      </c>
      <c r="G81" s="59">
        <f>ROUND(A!G81/2,2)</f>
        <v>34.5</v>
      </c>
      <c r="H81" s="59">
        <f>ROUND(A!H81/2,2)</f>
        <v>34.119999999999997</v>
      </c>
      <c r="I81" s="59">
        <f>ROUND(A!I81/2,2)</f>
        <v>34.119999999999997</v>
      </c>
      <c r="J81" s="59">
        <f>ROUND(A!J81/2,2)</f>
        <v>34.119999999999997</v>
      </c>
      <c r="K81" s="59">
        <f>ROUND(A!K81/2,2)</f>
        <v>34.119999999999997</v>
      </c>
      <c r="M81" s="59">
        <f>ROUND(A!N81/2,2)</f>
        <v>34.119999999999997</v>
      </c>
      <c r="O81" s="59">
        <f>ROUND(A!P81/2,2)</f>
        <v>37.58</v>
      </c>
      <c r="P81" s="59">
        <f>ROUND(A!Q81/2,2)</f>
        <v>36.590000000000003</v>
      </c>
      <c r="Q81" s="59">
        <f>ROUND(A!R81/2,2)</f>
        <v>36.590000000000003</v>
      </c>
      <c r="R81" s="59">
        <f>ROUND(A!S81/2,2)</f>
        <v>36.590000000000003</v>
      </c>
      <c r="S81" s="59">
        <f>ROUND(A!T81/2,2)</f>
        <v>36.590000000000003</v>
      </c>
      <c r="U81" s="59">
        <f>ROUND(A!W81/2,2)</f>
        <v>36.590000000000003</v>
      </c>
    </row>
    <row r="82" spans="1:21" ht="15" thickBot="1">
      <c r="A82" s="54">
        <f t="shared" si="2"/>
        <v>74</v>
      </c>
      <c r="C82" s="59">
        <f>ROUND(A!C82/2,2)</f>
        <v>40.68</v>
      </c>
      <c r="D82" s="59">
        <f>ROUND(A!D82/2,2)</f>
        <v>37.549999999999997</v>
      </c>
      <c r="E82" s="59">
        <f>ROUND(A!E82/2,2)</f>
        <v>36.909999999999997</v>
      </c>
      <c r="G82" s="59">
        <f>ROUND(A!G82/2,2)</f>
        <v>34.5</v>
      </c>
      <c r="H82" s="59">
        <f>ROUND(A!H82/2,2)</f>
        <v>34.119999999999997</v>
      </c>
      <c r="I82" s="59">
        <f>ROUND(A!I82/2,2)</f>
        <v>34.119999999999997</v>
      </c>
      <c r="J82" s="59">
        <f>ROUND(A!J82/2,2)</f>
        <v>34.119999999999997</v>
      </c>
      <c r="K82" s="59">
        <f>ROUND(A!K82/2,2)</f>
        <v>34.119999999999997</v>
      </c>
      <c r="M82" s="59">
        <f>ROUND(A!N82/2,2)</f>
        <v>34.119999999999997</v>
      </c>
      <c r="O82" s="59">
        <f>ROUND(A!P82/2,2)</f>
        <v>37.58</v>
      </c>
      <c r="P82" s="59">
        <f>ROUND(A!Q82/2,2)</f>
        <v>36.590000000000003</v>
      </c>
      <c r="Q82" s="59">
        <f>ROUND(A!R82/2,2)</f>
        <v>36.590000000000003</v>
      </c>
      <c r="R82" s="59">
        <f>ROUND(A!S82/2,2)</f>
        <v>36.590000000000003</v>
      </c>
      <c r="S82" s="59">
        <f>ROUND(A!T82/2,2)</f>
        <v>36.590000000000003</v>
      </c>
      <c r="U82" s="59">
        <f>ROUND(A!W82/2,2)</f>
        <v>36.590000000000003</v>
      </c>
    </row>
    <row r="83" spans="1:21" ht="15" thickBot="1">
      <c r="A83" s="54">
        <f>A82+1</f>
        <v>75</v>
      </c>
      <c r="C83" s="59">
        <f>ROUND(A!C83/2,2)</f>
        <v>41.19</v>
      </c>
      <c r="D83" s="59">
        <f>ROUND(A!D83/2,2)</f>
        <v>38.020000000000003</v>
      </c>
      <c r="E83" s="59">
        <f>ROUND(A!E83/2,2)</f>
        <v>36.909999999999997</v>
      </c>
      <c r="G83" s="59">
        <f>ROUND(A!G83/2,2)</f>
        <v>34.5</v>
      </c>
      <c r="H83" s="59">
        <f>ROUND(A!H83/2,2)</f>
        <v>34.119999999999997</v>
      </c>
      <c r="I83" s="59">
        <f>ROUND(A!I83/2,2)</f>
        <v>34.119999999999997</v>
      </c>
      <c r="J83" s="59">
        <f>ROUND(A!J83/2,2)</f>
        <v>34.119999999999997</v>
      </c>
      <c r="K83" s="59">
        <f>ROUND(A!K83/2,2)</f>
        <v>34.119999999999997</v>
      </c>
      <c r="M83" s="59">
        <f>ROUND(A!N83/2,2)</f>
        <v>34.119999999999997</v>
      </c>
      <c r="O83" s="59">
        <f>ROUND(A!P83/2,2)</f>
        <v>37.58</v>
      </c>
      <c r="P83" s="59">
        <f>ROUND(A!Q83/2,2)</f>
        <v>36.590000000000003</v>
      </c>
      <c r="Q83" s="59">
        <f>ROUND(A!R83/2,2)</f>
        <v>36.590000000000003</v>
      </c>
      <c r="R83" s="59">
        <f>ROUND(A!S83/2,2)</f>
        <v>36.590000000000003</v>
      </c>
      <c r="S83" s="59">
        <f>ROUND(A!T83/2,2)</f>
        <v>36.590000000000003</v>
      </c>
      <c r="U83" s="59">
        <f>ROUND(A!W83/2,2)</f>
        <v>36.590000000000003</v>
      </c>
    </row>
    <row r="84" spans="1:21" ht="15" thickBot="1">
      <c r="A84" s="54">
        <f>A83+1</f>
        <v>76</v>
      </c>
      <c r="C84" s="59">
        <f>ROUND(A!C84/2,2)</f>
        <v>41.52</v>
      </c>
      <c r="D84" s="59">
        <f>ROUND(A!D84/2,2)</f>
        <v>38.33</v>
      </c>
      <c r="E84" s="59">
        <f>ROUND(A!E84/2,2)</f>
        <v>36.909999999999997</v>
      </c>
      <c r="G84" s="59">
        <f>ROUND(A!G84/2,2)</f>
        <v>34.5</v>
      </c>
      <c r="H84" s="59">
        <f>ROUND(A!H84/2,2)</f>
        <v>34.119999999999997</v>
      </c>
      <c r="I84" s="59">
        <f>ROUND(A!I84/2,2)</f>
        <v>34.119999999999997</v>
      </c>
      <c r="J84" s="59">
        <f>ROUND(A!J84/2,2)</f>
        <v>34.119999999999997</v>
      </c>
      <c r="K84" s="59">
        <f>ROUND(A!K84/2,2)</f>
        <v>34.119999999999997</v>
      </c>
      <c r="M84" s="59">
        <f>ROUND(A!N84/2,2)</f>
        <v>34.119999999999997</v>
      </c>
      <c r="O84" s="59">
        <f>ROUND(A!P84/2,2)</f>
        <v>37.58</v>
      </c>
      <c r="P84" s="59">
        <f>ROUND(A!Q84/2,2)</f>
        <v>36.590000000000003</v>
      </c>
      <c r="Q84" s="59">
        <f>ROUND(A!R84/2,2)</f>
        <v>36.590000000000003</v>
      </c>
      <c r="R84" s="59">
        <f>ROUND(A!S84/2,2)</f>
        <v>36.590000000000003</v>
      </c>
      <c r="S84" s="59">
        <f>ROUND(A!T84/2,2)</f>
        <v>36.590000000000003</v>
      </c>
      <c r="U84" s="59">
        <f>ROUND(A!W84/2,2)</f>
        <v>36.590000000000003</v>
      </c>
    </row>
    <row r="85" spans="1:21" ht="15" thickBot="1">
      <c r="A85" s="54">
        <f>A84+1</f>
        <v>77</v>
      </c>
      <c r="C85" s="59">
        <f>ROUND(A!C85/2,2)</f>
        <v>41.98</v>
      </c>
      <c r="D85" s="59">
        <f>ROUND(A!D85/2,2)</f>
        <v>38.75</v>
      </c>
      <c r="E85" s="59">
        <f>ROUND(A!E85/2,2)</f>
        <v>36.909999999999997</v>
      </c>
      <c r="G85" s="59">
        <f>ROUND(A!G85/2,2)</f>
        <v>34.5</v>
      </c>
      <c r="H85" s="59">
        <f>ROUND(A!H85/2,2)</f>
        <v>34.119999999999997</v>
      </c>
      <c r="I85" s="59">
        <f>ROUND(A!I85/2,2)</f>
        <v>34.119999999999997</v>
      </c>
      <c r="J85" s="59">
        <f>ROUND(A!J85/2,2)</f>
        <v>34.119999999999997</v>
      </c>
      <c r="K85" s="59">
        <f>ROUND(A!K85/2,2)</f>
        <v>34.119999999999997</v>
      </c>
      <c r="M85" s="59">
        <f>ROUND(A!N85/2,2)</f>
        <v>34.119999999999997</v>
      </c>
      <c r="O85" s="59">
        <f>ROUND(A!P85/2,2)</f>
        <v>37.58</v>
      </c>
      <c r="P85" s="59">
        <f>ROUND(A!Q85/2,2)</f>
        <v>36.590000000000003</v>
      </c>
      <c r="Q85" s="59">
        <f>ROUND(A!R85/2,2)</f>
        <v>36.590000000000003</v>
      </c>
      <c r="R85" s="59">
        <f>ROUND(A!S85/2,2)</f>
        <v>36.590000000000003</v>
      </c>
      <c r="S85" s="59">
        <f>ROUND(A!T85/2,2)</f>
        <v>36.590000000000003</v>
      </c>
      <c r="U85" s="59">
        <f>ROUND(A!W85/2,2)</f>
        <v>36.590000000000003</v>
      </c>
    </row>
    <row r="86" spans="1:21" ht="15" thickBot="1">
      <c r="A86" s="54">
        <f>A85+1</f>
        <v>78</v>
      </c>
      <c r="B86" s="486"/>
      <c r="C86" s="59">
        <f>ROUND(A!C86/2,2)</f>
        <v>42.44</v>
      </c>
      <c r="D86" s="59">
        <f>ROUND(A!D86/2,2)</f>
        <v>39.18</v>
      </c>
      <c r="E86" s="59">
        <f>ROUND(A!E86/2,2)</f>
        <v>36.909999999999997</v>
      </c>
      <c r="F86" s="486"/>
      <c r="G86" s="59">
        <f>ROUND(A!G86/2,2)</f>
        <v>34.5</v>
      </c>
      <c r="H86" s="59">
        <f>ROUND(A!H86/2,2)</f>
        <v>34.119999999999997</v>
      </c>
      <c r="I86" s="59">
        <f>ROUND(A!I86/2,2)</f>
        <v>34.119999999999997</v>
      </c>
      <c r="J86" s="59">
        <f>ROUND(A!J86/2,2)</f>
        <v>34.119999999999997</v>
      </c>
      <c r="K86" s="59">
        <f>ROUND(A!K86/2,2)</f>
        <v>34.119999999999997</v>
      </c>
      <c r="L86" s="486"/>
      <c r="M86" s="59">
        <f>ROUND(A!N86/2,2)</f>
        <v>34.119999999999997</v>
      </c>
      <c r="N86" s="486"/>
      <c r="O86" s="59">
        <f>ROUND(A!P86/2,2)</f>
        <v>37.58</v>
      </c>
      <c r="P86" s="59">
        <f>ROUND(A!Q86/2,2)</f>
        <v>36.590000000000003</v>
      </c>
      <c r="Q86" s="59">
        <f>ROUND(A!R86/2,2)</f>
        <v>36.590000000000003</v>
      </c>
      <c r="R86" s="59">
        <f>ROUND(A!S86/2,2)</f>
        <v>36.590000000000003</v>
      </c>
      <c r="S86" s="59">
        <f>ROUND(A!T86/2,2)</f>
        <v>36.590000000000003</v>
      </c>
      <c r="T86" s="486"/>
      <c r="U86" s="59">
        <f>ROUND(A!W86/2,2)</f>
        <v>36.590000000000003</v>
      </c>
    </row>
    <row r="87" spans="1:21" ht="15" thickBot="1">
      <c r="A87" s="54">
        <f>A86+1</f>
        <v>79</v>
      </c>
      <c r="B87" s="512"/>
      <c r="C87" s="59">
        <f>ROUND(A!C87/2,2)</f>
        <v>42.91</v>
      </c>
      <c r="D87" s="59">
        <f>ROUND(A!D87/2,2)</f>
        <v>39.61</v>
      </c>
      <c r="E87" s="59">
        <f>ROUND(A!E87/2,2)</f>
        <v>36.909999999999997</v>
      </c>
      <c r="F87" s="512"/>
      <c r="G87" s="59">
        <f>ROUND(A!G87/2,2)</f>
        <v>34.5</v>
      </c>
      <c r="H87" s="59">
        <f>ROUND(A!H87/2,2)</f>
        <v>34.119999999999997</v>
      </c>
      <c r="I87" s="59">
        <f>ROUND(A!I87/2,2)</f>
        <v>34.119999999999997</v>
      </c>
      <c r="J87" s="59">
        <f>ROUND(A!J87/2,2)</f>
        <v>34.119999999999997</v>
      </c>
      <c r="K87" s="59">
        <f>ROUND(A!K87/2,2)</f>
        <v>34.119999999999997</v>
      </c>
      <c r="L87" s="512"/>
      <c r="M87" s="59">
        <f>ROUND(A!N87/2,2)</f>
        <v>34.119999999999997</v>
      </c>
      <c r="N87" s="512"/>
      <c r="O87" s="59">
        <f>ROUND(A!P87/2,2)</f>
        <v>37.58</v>
      </c>
      <c r="P87" s="59">
        <f>ROUND(A!Q87/2,2)</f>
        <v>36.590000000000003</v>
      </c>
      <c r="Q87" s="59">
        <f>ROUND(A!R87/2,2)</f>
        <v>36.590000000000003</v>
      </c>
      <c r="R87" s="59">
        <f>ROUND(A!S87/2,2)</f>
        <v>36.590000000000003</v>
      </c>
      <c r="S87" s="59">
        <f>ROUND(A!T87/2,2)</f>
        <v>36.590000000000003</v>
      </c>
      <c r="T87" s="512"/>
      <c r="U87" s="59">
        <f>ROUND(A!W87/2,2)</f>
        <v>36.590000000000003</v>
      </c>
    </row>
  </sheetData>
  <sheetProtection algorithmName="SHA-512" hashValue="BSgy8tqnq88o2PJkvI7FGqZc224tlvA9hZStO6ch/e5h5+DPQ48W/He2t26IZOU6LR430Z4Ic55sfZLG8/nX2Q==" saltValue="ppf/GSqTX75eJ4pqsqPlZQ==" spinCount="100000" sheet="1" objects="1" scenarios="1"/>
  <mergeCells count="9">
    <mergeCell ref="C4:E4"/>
    <mergeCell ref="G4:K4"/>
    <mergeCell ref="O4:S4"/>
    <mergeCell ref="C1:Q1"/>
    <mergeCell ref="R1:S1"/>
    <mergeCell ref="C2:R2"/>
    <mergeCell ref="C3:E3"/>
    <mergeCell ref="G3:K3"/>
    <mergeCell ref="O3:S3"/>
  </mergeCells>
  <conditionalFormatting sqref="O9:O87">
    <cfRule type="expression" dxfId="22" priority="7">
      <formula>MOD(INDIRECT(ADDRESS(ROW(),1)),5)=0</formula>
    </cfRule>
    <cfRule type="cellIs" dxfId="21" priority="8" operator="lessThan">
      <formula>$O$8</formula>
    </cfRule>
  </conditionalFormatting>
  <conditionalFormatting sqref="C9:E87 G9:K87 M9:M87 O9:S87 U9:U87">
    <cfRule type="expression" dxfId="20" priority="5">
      <formula>MOD(INDIRECT(ADDRESS(ROW(),1)),5)=0</formula>
    </cfRule>
  </conditionalFormatting>
  <conditionalFormatting sqref="O9:O87">
    <cfRule type="expression" dxfId="19" priority="3">
      <formula>MOD(INDIRECT(ADDRESS(ROW(),1)),5)=0</formula>
    </cfRule>
    <cfRule type="cellIs" dxfId="18" priority="4" operator="lessThan">
      <formula>$O$8</formula>
    </cfRule>
  </conditionalFormatting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&amp;L&amp;10Rijksdienst voor Arbeidsvoorziening&amp;R&amp;10Office national de l'Emploi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style="72" customWidth="1"/>
    <col min="2" max="2" width="0.6640625" customWidth="1"/>
    <col min="3" max="3" width="9.5546875" customWidth="1"/>
    <col min="6" max="6" width="0.6640625" customWidth="1"/>
    <col min="7" max="7" width="9.109375" customWidth="1"/>
    <col min="13" max="13" width="0.6640625" customWidth="1"/>
    <col min="15" max="15" width="0.6640625" customWidth="1"/>
    <col min="21" max="21" width="0.6640625" customWidth="1"/>
  </cols>
  <sheetData>
    <row r="1" spans="1:22" ht="15" customHeight="1">
      <c r="A1" s="185" t="s">
        <v>33</v>
      </c>
      <c r="C1" s="600" t="s">
        <v>235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183"/>
      <c r="S1" s="182" t="s">
        <v>34</v>
      </c>
      <c r="T1" s="182"/>
      <c r="U1" s="182"/>
      <c r="V1" s="497">
        <f>Basisbedragen!$H$2</f>
        <v>1.7410000000000001</v>
      </c>
    </row>
    <row r="2" spans="1:22" ht="15.6">
      <c r="A2" s="492">
        <f>A!A2</f>
        <v>45689</v>
      </c>
      <c r="C2" s="600" t="s">
        <v>232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183"/>
      <c r="S2" s="45"/>
      <c r="T2" s="45"/>
      <c r="U2" s="45"/>
    </row>
    <row r="3" spans="1:22">
      <c r="A3" s="46"/>
      <c r="C3" s="597" t="s">
        <v>47</v>
      </c>
      <c r="D3" s="597"/>
      <c r="E3" s="597"/>
      <c r="F3" s="429"/>
      <c r="G3" s="597" t="s">
        <v>48</v>
      </c>
      <c r="H3" s="597"/>
      <c r="I3" s="597"/>
      <c r="J3" s="597"/>
      <c r="K3" s="597"/>
      <c r="L3" s="597"/>
      <c r="M3" s="429"/>
      <c r="N3" s="430" t="s">
        <v>37</v>
      </c>
      <c r="O3" s="429"/>
      <c r="P3" s="597" t="s">
        <v>50</v>
      </c>
      <c r="Q3" s="597"/>
      <c r="R3" s="597"/>
      <c r="S3" s="597"/>
      <c r="T3" s="597"/>
      <c r="U3" s="433"/>
      <c r="V3" s="430" t="s">
        <v>37</v>
      </c>
    </row>
    <row r="4" spans="1:22" ht="26.25" customHeight="1" thickBot="1">
      <c r="A4" s="46"/>
      <c r="C4" s="597"/>
      <c r="D4" s="597"/>
      <c r="E4" s="597"/>
      <c r="F4" s="429"/>
      <c r="G4" s="429"/>
      <c r="H4" s="597"/>
      <c r="I4" s="597"/>
      <c r="J4" s="597"/>
      <c r="K4" s="597"/>
      <c r="L4" s="597"/>
      <c r="M4" s="429"/>
      <c r="N4" s="431" t="s">
        <v>49</v>
      </c>
      <c r="O4" s="429"/>
      <c r="P4" s="434"/>
      <c r="Q4" s="434"/>
      <c r="R4" s="434"/>
      <c r="S4" s="434"/>
      <c r="T4" s="434"/>
      <c r="U4" s="434"/>
      <c r="V4" s="432" t="s">
        <v>51</v>
      </c>
    </row>
    <row r="5" spans="1:22" ht="57.75" customHeight="1" thickBot="1">
      <c r="A5" s="100" t="s">
        <v>35</v>
      </c>
      <c r="C5" s="55" t="s">
        <v>22</v>
      </c>
      <c r="D5" s="56" t="s">
        <v>23</v>
      </c>
      <c r="E5" s="55" t="s">
        <v>24</v>
      </c>
      <c r="F5" s="47"/>
      <c r="G5" s="56" t="s">
        <v>530</v>
      </c>
      <c r="H5" s="56" t="s">
        <v>538</v>
      </c>
      <c r="I5" s="55" t="s">
        <v>25</v>
      </c>
      <c r="J5" s="56" t="s">
        <v>26</v>
      </c>
      <c r="K5" s="55" t="s">
        <v>27</v>
      </c>
      <c r="L5" s="56" t="s">
        <v>28</v>
      </c>
      <c r="M5" s="48"/>
      <c r="N5" s="56" t="s">
        <v>536</v>
      </c>
      <c r="O5" s="48"/>
      <c r="P5" s="56" t="s">
        <v>266</v>
      </c>
      <c r="Q5" s="56" t="s">
        <v>29</v>
      </c>
      <c r="R5" s="56" t="s">
        <v>30</v>
      </c>
      <c r="S5" s="56" t="s">
        <v>31</v>
      </c>
      <c r="T5" s="56" t="s">
        <v>32</v>
      </c>
      <c r="U5" s="48"/>
      <c r="V5" s="56" t="s">
        <v>238</v>
      </c>
    </row>
    <row r="6" spans="1:22" ht="15" hidden="1" thickBot="1">
      <c r="A6" s="73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N6" s="78"/>
      <c r="P6" s="76"/>
      <c r="Q6" s="76">
        <v>1</v>
      </c>
      <c r="R6" s="76">
        <v>2</v>
      </c>
      <c r="S6" s="76">
        <v>3</v>
      </c>
      <c r="T6" s="76">
        <v>4</v>
      </c>
      <c r="V6" s="78"/>
    </row>
    <row r="7" spans="1:22" s="50" customFormat="1" ht="15" thickBot="1">
      <c r="A7" s="74"/>
      <c r="B7"/>
      <c r="C7" s="77">
        <v>0.65</v>
      </c>
      <c r="D7" s="77">
        <v>0.6</v>
      </c>
      <c r="E7" s="77">
        <v>0.6</v>
      </c>
      <c r="F7" s="181"/>
      <c r="G7" s="77">
        <v>0.6</v>
      </c>
      <c r="H7" s="77">
        <v>0.55000000000000004</v>
      </c>
      <c r="I7" s="61"/>
      <c r="J7" s="61"/>
      <c r="K7" s="61"/>
      <c r="L7" s="61"/>
      <c r="M7" s="181"/>
      <c r="N7" s="61"/>
      <c r="O7" s="181"/>
      <c r="P7" s="77">
        <v>0.6</v>
      </c>
      <c r="Q7" s="61"/>
      <c r="R7" s="61"/>
      <c r="S7" s="61"/>
      <c r="T7" s="61"/>
      <c r="U7" s="181"/>
      <c r="V7" s="61"/>
    </row>
    <row r="8" spans="1:22" s="184" customFormat="1" ht="18.75" customHeight="1" thickBot="1">
      <c r="A8" s="70" t="s">
        <v>4</v>
      </c>
      <c r="B8"/>
      <c r="C8" s="106">
        <f>ROUND(N!C8/2,2)</f>
        <v>27.65</v>
      </c>
      <c r="D8" s="106">
        <f t="shared" ref="D8:L8" si="0">$C$8</f>
        <v>27.65</v>
      </c>
      <c r="E8" s="106">
        <f t="shared" si="0"/>
        <v>27.65</v>
      </c>
      <c r="G8" s="106">
        <f t="shared" si="0"/>
        <v>27.65</v>
      </c>
      <c r="H8" s="106">
        <f t="shared" si="0"/>
        <v>27.65</v>
      </c>
      <c r="I8" s="106">
        <f t="shared" si="0"/>
        <v>27.65</v>
      </c>
      <c r="J8" s="106">
        <f t="shared" si="0"/>
        <v>27.65</v>
      </c>
      <c r="K8" s="106">
        <f t="shared" si="0"/>
        <v>27.65</v>
      </c>
      <c r="L8" s="106">
        <f t="shared" si="0"/>
        <v>27.65</v>
      </c>
      <c r="N8" s="67"/>
      <c r="P8" s="67">
        <f>ROUND(N!Q8/2,2)</f>
        <v>30.68</v>
      </c>
      <c r="Q8" s="106">
        <f>MIN(Q44:Q80)</f>
        <v>30.12</v>
      </c>
      <c r="R8" s="106">
        <f>MIN(R44:R80)</f>
        <v>30.12</v>
      </c>
      <c r="S8" s="106">
        <f>MIN(S44:S80)</f>
        <v>30.12</v>
      </c>
      <c r="T8" s="106">
        <f>MIN(T44:T80)</f>
        <v>30.12</v>
      </c>
      <c r="V8" s="67"/>
    </row>
    <row r="9" spans="1:22" ht="15.75" hidden="1" customHeight="1" outlineLevel="1" thickBot="1">
      <c r="A9" s="54">
        <v>1</v>
      </c>
      <c r="C9" s="59">
        <f>ROUND(N!C9/2,2)</f>
        <v>27.65</v>
      </c>
      <c r="D9" s="59">
        <f>ROUND(N!D9/2,2)</f>
        <v>27.65</v>
      </c>
      <c r="E9" s="59">
        <f>ROUND(N!E9/2,2)</f>
        <v>27.65</v>
      </c>
      <c r="G9" s="59">
        <f>ROUND(N!G9/2,2)</f>
        <v>27.65</v>
      </c>
      <c r="H9" s="59">
        <f>ROUND(N!H9/2,2)</f>
        <v>27.65</v>
      </c>
      <c r="I9" s="59">
        <f>ROUND(N!I9/2,2)</f>
        <v>27.65</v>
      </c>
      <c r="J9" s="59">
        <f>ROUND(N!J9/2,2)</f>
        <v>27.65</v>
      </c>
      <c r="K9" s="59">
        <f>ROUND(N!K9/2,2)</f>
        <v>27.65</v>
      </c>
      <c r="L9" s="59">
        <f>ROUND(N!L9/2,2)</f>
        <v>27.65</v>
      </c>
      <c r="N9" s="59">
        <f>ROUND(N!O9/2,2)</f>
        <v>27.65</v>
      </c>
      <c r="P9" s="59">
        <f>ROUND(N!Q9/2,2)</f>
        <v>30.68</v>
      </c>
      <c r="Q9" s="59">
        <f>ROUND(N!R9/2,2)</f>
        <v>30.12</v>
      </c>
      <c r="R9" s="59">
        <f>ROUND(N!S9/2,2)</f>
        <v>30.12</v>
      </c>
      <c r="S9" s="59">
        <f>ROUND(N!T9/2,2)</f>
        <v>30.12</v>
      </c>
      <c r="T9" s="59">
        <f>ROUND(N!U9/2,2)</f>
        <v>30.12</v>
      </c>
      <c r="V9" s="59">
        <f>ROUND(N!X9/2,2)</f>
        <v>30.12</v>
      </c>
    </row>
    <row r="10" spans="1:22" ht="15.75" hidden="1" customHeight="1" outlineLevel="1" thickBot="1">
      <c r="A10" s="54">
        <f>A9+1</f>
        <v>2</v>
      </c>
      <c r="C10" s="59">
        <f>ROUND(N!C10/2,2)</f>
        <v>27.65</v>
      </c>
      <c r="D10" s="59">
        <f>ROUND(N!D10/2,2)</f>
        <v>27.65</v>
      </c>
      <c r="E10" s="59">
        <f>ROUND(N!E10/2,2)</f>
        <v>27.65</v>
      </c>
      <c r="G10" s="59">
        <f>ROUND(N!G10/2,2)</f>
        <v>27.65</v>
      </c>
      <c r="H10" s="59">
        <f>ROUND(N!H10/2,2)</f>
        <v>27.65</v>
      </c>
      <c r="I10" s="59">
        <f>ROUND(N!I10/2,2)</f>
        <v>27.65</v>
      </c>
      <c r="J10" s="59">
        <f>ROUND(N!J10/2,2)</f>
        <v>27.65</v>
      </c>
      <c r="K10" s="59">
        <f>ROUND(N!K10/2,2)</f>
        <v>27.65</v>
      </c>
      <c r="L10" s="59">
        <f>ROUND(N!L10/2,2)</f>
        <v>27.65</v>
      </c>
      <c r="N10" s="59">
        <f>ROUND(N!O10/2,2)</f>
        <v>27.65</v>
      </c>
      <c r="P10" s="59">
        <f>ROUND(N!Q10/2,2)</f>
        <v>30.68</v>
      </c>
      <c r="Q10" s="59">
        <f>ROUND(N!R10/2,2)</f>
        <v>30.12</v>
      </c>
      <c r="R10" s="59">
        <f>ROUND(N!S10/2,2)</f>
        <v>30.12</v>
      </c>
      <c r="S10" s="59">
        <f>ROUND(N!T10/2,2)</f>
        <v>30.12</v>
      </c>
      <c r="T10" s="59">
        <f>ROUND(N!U10/2,2)</f>
        <v>30.12</v>
      </c>
      <c r="V10" s="59">
        <f>ROUND(N!X10/2,2)</f>
        <v>30.12</v>
      </c>
    </row>
    <row r="11" spans="1:22" ht="15.75" hidden="1" customHeight="1" outlineLevel="1" thickBot="1">
      <c r="A11" s="54">
        <f t="shared" ref="A11:A74" si="1">A10+1</f>
        <v>3</v>
      </c>
      <c r="C11" s="59">
        <f>ROUND(N!C11/2,2)</f>
        <v>27.65</v>
      </c>
      <c r="D11" s="59">
        <f>ROUND(N!D11/2,2)</f>
        <v>27.65</v>
      </c>
      <c r="E11" s="59">
        <f>ROUND(N!E11/2,2)</f>
        <v>27.65</v>
      </c>
      <c r="G11" s="59">
        <f>ROUND(N!G11/2,2)</f>
        <v>27.65</v>
      </c>
      <c r="H11" s="59">
        <f>ROUND(N!H11/2,2)</f>
        <v>27.65</v>
      </c>
      <c r="I11" s="59">
        <f>ROUND(N!I11/2,2)</f>
        <v>27.65</v>
      </c>
      <c r="J11" s="59">
        <f>ROUND(N!J11/2,2)</f>
        <v>27.65</v>
      </c>
      <c r="K11" s="59">
        <f>ROUND(N!K11/2,2)</f>
        <v>27.65</v>
      </c>
      <c r="L11" s="59">
        <f>ROUND(N!L11/2,2)</f>
        <v>27.65</v>
      </c>
      <c r="N11" s="59">
        <f>ROUND(N!O11/2,2)</f>
        <v>27.65</v>
      </c>
      <c r="P11" s="59">
        <f>ROUND(N!Q11/2,2)</f>
        <v>30.68</v>
      </c>
      <c r="Q11" s="59">
        <f>ROUND(N!R11/2,2)</f>
        <v>30.12</v>
      </c>
      <c r="R11" s="59">
        <f>ROUND(N!S11/2,2)</f>
        <v>30.12</v>
      </c>
      <c r="S11" s="59">
        <f>ROUND(N!T11/2,2)</f>
        <v>30.12</v>
      </c>
      <c r="T11" s="59">
        <f>ROUND(N!U11/2,2)</f>
        <v>30.12</v>
      </c>
      <c r="V11" s="59">
        <f>ROUND(N!X11/2,2)</f>
        <v>30.12</v>
      </c>
    </row>
    <row r="12" spans="1:22" ht="15.75" hidden="1" customHeight="1" outlineLevel="1" thickBot="1">
      <c r="A12" s="54">
        <f t="shared" si="1"/>
        <v>4</v>
      </c>
      <c r="C12" s="59">
        <f>ROUND(N!C12/2,2)</f>
        <v>27.65</v>
      </c>
      <c r="D12" s="59">
        <f>ROUND(N!D12/2,2)</f>
        <v>27.65</v>
      </c>
      <c r="E12" s="59">
        <f>ROUND(N!E12/2,2)</f>
        <v>27.65</v>
      </c>
      <c r="G12" s="59">
        <f>ROUND(N!G12/2,2)</f>
        <v>27.65</v>
      </c>
      <c r="H12" s="59">
        <f>ROUND(N!H12/2,2)</f>
        <v>27.65</v>
      </c>
      <c r="I12" s="59">
        <f>ROUND(N!I12/2,2)</f>
        <v>27.65</v>
      </c>
      <c r="J12" s="59">
        <f>ROUND(N!J12/2,2)</f>
        <v>27.65</v>
      </c>
      <c r="K12" s="59">
        <f>ROUND(N!K12/2,2)</f>
        <v>27.65</v>
      </c>
      <c r="L12" s="59">
        <f>ROUND(N!L12/2,2)</f>
        <v>27.65</v>
      </c>
      <c r="N12" s="59">
        <f>ROUND(N!O12/2,2)</f>
        <v>27.65</v>
      </c>
      <c r="P12" s="59">
        <f>ROUND(N!Q12/2,2)</f>
        <v>30.68</v>
      </c>
      <c r="Q12" s="59">
        <f>ROUND(N!R12/2,2)</f>
        <v>30.12</v>
      </c>
      <c r="R12" s="59">
        <f>ROUND(N!S12/2,2)</f>
        <v>30.12</v>
      </c>
      <c r="S12" s="59">
        <f>ROUND(N!T12/2,2)</f>
        <v>30.12</v>
      </c>
      <c r="T12" s="59">
        <f>ROUND(N!U12/2,2)</f>
        <v>30.12</v>
      </c>
      <c r="V12" s="59">
        <f>ROUND(N!X12/2,2)</f>
        <v>30.12</v>
      </c>
    </row>
    <row r="13" spans="1:22" ht="15.75" hidden="1" customHeight="1" outlineLevel="1" thickBot="1">
      <c r="A13" s="54">
        <f t="shared" si="1"/>
        <v>5</v>
      </c>
      <c r="C13" s="59">
        <f>ROUND(N!C13/2,2)</f>
        <v>27.65</v>
      </c>
      <c r="D13" s="59">
        <f>ROUND(N!D13/2,2)</f>
        <v>27.65</v>
      </c>
      <c r="E13" s="59">
        <f>ROUND(N!E13/2,2)</f>
        <v>27.65</v>
      </c>
      <c r="G13" s="59">
        <f>ROUND(N!G13/2,2)</f>
        <v>27.65</v>
      </c>
      <c r="H13" s="59">
        <f>ROUND(N!H13/2,2)</f>
        <v>27.65</v>
      </c>
      <c r="I13" s="59">
        <f>ROUND(N!I13/2,2)</f>
        <v>27.65</v>
      </c>
      <c r="J13" s="59">
        <f>ROUND(N!J13/2,2)</f>
        <v>27.65</v>
      </c>
      <c r="K13" s="59">
        <f>ROUND(N!K13/2,2)</f>
        <v>27.65</v>
      </c>
      <c r="L13" s="59">
        <f>ROUND(N!L13/2,2)</f>
        <v>27.65</v>
      </c>
      <c r="N13" s="59">
        <f>ROUND(N!O13/2,2)</f>
        <v>27.65</v>
      </c>
      <c r="P13" s="59">
        <f>ROUND(N!Q13/2,2)</f>
        <v>30.68</v>
      </c>
      <c r="Q13" s="59">
        <f>ROUND(N!R13/2,2)</f>
        <v>30.12</v>
      </c>
      <c r="R13" s="59">
        <f>ROUND(N!S13/2,2)</f>
        <v>30.12</v>
      </c>
      <c r="S13" s="59">
        <f>ROUND(N!T13/2,2)</f>
        <v>30.12</v>
      </c>
      <c r="T13" s="59">
        <f>ROUND(N!U13/2,2)</f>
        <v>30.12</v>
      </c>
      <c r="V13" s="59">
        <f>ROUND(N!X13/2,2)</f>
        <v>30.12</v>
      </c>
    </row>
    <row r="14" spans="1:22" ht="15.75" hidden="1" customHeight="1" outlineLevel="1" thickBot="1">
      <c r="A14" s="54">
        <f t="shared" si="1"/>
        <v>6</v>
      </c>
      <c r="C14" s="59">
        <f>ROUND(N!C14/2,2)</f>
        <v>27.65</v>
      </c>
      <c r="D14" s="59">
        <f>ROUND(N!D14/2,2)</f>
        <v>27.65</v>
      </c>
      <c r="E14" s="59">
        <f>ROUND(N!E14/2,2)</f>
        <v>27.65</v>
      </c>
      <c r="G14" s="59">
        <f>ROUND(N!G14/2,2)</f>
        <v>27.65</v>
      </c>
      <c r="H14" s="59">
        <f>ROUND(N!H14/2,2)</f>
        <v>27.65</v>
      </c>
      <c r="I14" s="59">
        <f>ROUND(N!I14/2,2)</f>
        <v>27.65</v>
      </c>
      <c r="J14" s="59">
        <f>ROUND(N!J14/2,2)</f>
        <v>27.65</v>
      </c>
      <c r="K14" s="59">
        <f>ROUND(N!K14/2,2)</f>
        <v>27.65</v>
      </c>
      <c r="L14" s="59">
        <f>ROUND(N!L14/2,2)</f>
        <v>27.65</v>
      </c>
      <c r="N14" s="59">
        <f>ROUND(N!O14/2,2)</f>
        <v>27.65</v>
      </c>
      <c r="P14" s="59">
        <f>ROUND(N!Q14/2,2)</f>
        <v>30.68</v>
      </c>
      <c r="Q14" s="59">
        <f>ROUND(N!R14/2,2)</f>
        <v>30.12</v>
      </c>
      <c r="R14" s="59">
        <f>ROUND(N!S14/2,2)</f>
        <v>30.12</v>
      </c>
      <c r="S14" s="59">
        <f>ROUND(N!T14/2,2)</f>
        <v>30.12</v>
      </c>
      <c r="T14" s="59">
        <f>ROUND(N!U14/2,2)</f>
        <v>30.12</v>
      </c>
      <c r="V14" s="59">
        <f>ROUND(N!X14/2,2)</f>
        <v>30.12</v>
      </c>
    </row>
    <row r="15" spans="1:22" ht="15.75" hidden="1" customHeight="1" outlineLevel="1" thickBot="1">
      <c r="A15" s="54">
        <f t="shared" si="1"/>
        <v>7</v>
      </c>
      <c r="C15" s="59">
        <f>ROUND(N!C15/2,2)</f>
        <v>27.65</v>
      </c>
      <c r="D15" s="59">
        <f>ROUND(N!D15/2,2)</f>
        <v>27.65</v>
      </c>
      <c r="E15" s="59">
        <f>ROUND(N!E15/2,2)</f>
        <v>27.65</v>
      </c>
      <c r="G15" s="59">
        <f>ROUND(N!G15/2,2)</f>
        <v>27.65</v>
      </c>
      <c r="H15" s="59">
        <f>ROUND(N!H15/2,2)</f>
        <v>27.65</v>
      </c>
      <c r="I15" s="59">
        <f>ROUND(N!I15/2,2)</f>
        <v>27.65</v>
      </c>
      <c r="J15" s="59">
        <f>ROUND(N!J15/2,2)</f>
        <v>27.65</v>
      </c>
      <c r="K15" s="59">
        <f>ROUND(N!K15/2,2)</f>
        <v>27.65</v>
      </c>
      <c r="L15" s="59">
        <f>ROUND(N!L15/2,2)</f>
        <v>27.65</v>
      </c>
      <c r="N15" s="59">
        <f>ROUND(N!O15/2,2)</f>
        <v>27.65</v>
      </c>
      <c r="P15" s="59">
        <f>ROUND(N!Q15/2,2)</f>
        <v>30.68</v>
      </c>
      <c r="Q15" s="59">
        <f>ROUND(N!R15/2,2)</f>
        <v>30.12</v>
      </c>
      <c r="R15" s="59">
        <f>ROUND(N!S15/2,2)</f>
        <v>30.12</v>
      </c>
      <c r="S15" s="59">
        <f>ROUND(N!T15/2,2)</f>
        <v>30.12</v>
      </c>
      <c r="T15" s="59">
        <f>ROUND(N!U15/2,2)</f>
        <v>30.12</v>
      </c>
      <c r="V15" s="59">
        <f>ROUND(N!X15/2,2)</f>
        <v>30.12</v>
      </c>
    </row>
    <row r="16" spans="1:22" ht="15.75" hidden="1" customHeight="1" outlineLevel="1" thickBot="1">
      <c r="A16" s="54">
        <f t="shared" si="1"/>
        <v>8</v>
      </c>
      <c r="C16" s="59">
        <f>ROUND(N!C16/2,2)</f>
        <v>27.65</v>
      </c>
      <c r="D16" s="59">
        <f>ROUND(N!D16/2,2)</f>
        <v>27.65</v>
      </c>
      <c r="E16" s="59">
        <f>ROUND(N!E16/2,2)</f>
        <v>27.65</v>
      </c>
      <c r="G16" s="59">
        <f>ROUND(N!G16/2,2)</f>
        <v>27.65</v>
      </c>
      <c r="H16" s="59">
        <f>ROUND(N!H16/2,2)</f>
        <v>27.65</v>
      </c>
      <c r="I16" s="59">
        <f>ROUND(N!I16/2,2)</f>
        <v>27.65</v>
      </c>
      <c r="J16" s="59">
        <f>ROUND(N!J16/2,2)</f>
        <v>27.65</v>
      </c>
      <c r="K16" s="59">
        <f>ROUND(N!K16/2,2)</f>
        <v>27.65</v>
      </c>
      <c r="L16" s="59">
        <f>ROUND(N!L16/2,2)</f>
        <v>27.65</v>
      </c>
      <c r="N16" s="59">
        <f>ROUND(N!O16/2,2)</f>
        <v>27.65</v>
      </c>
      <c r="P16" s="59">
        <f>ROUND(N!Q16/2,2)</f>
        <v>30.68</v>
      </c>
      <c r="Q16" s="59">
        <f>ROUND(N!R16/2,2)</f>
        <v>30.12</v>
      </c>
      <c r="R16" s="59">
        <f>ROUND(N!S16/2,2)</f>
        <v>30.12</v>
      </c>
      <c r="S16" s="59">
        <f>ROUND(N!T16/2,2)</f>
        <v>30.12</v>
      </c>
      <c r="T16" s="59">
        <f>ROUND(N!U16/2,2)</f>
        <v>30.12</v>
      </c>
      <c r="V16" s="59">
        <f>ROUND(N!X16/2,2)</f>
        <v>30.12</v>
      </c>
    </row>
    <row r="17" spans="1:22" ht="15.75" hidden="1" customHeight="1" outlineLevel="1" thickBot="1">
      <c r="A17" s="54">
        <f t="shared" si="1"/>
        <v>9</v>
      </c>
      <c r="C17" s="59">
        <f>ROUND(N!C17/2,2)</f>
        <v>27.65</v>
      </c>
      <c r="D17" s="59">
        <f>ROUND(N!D17/2,2)</f>
        <v>27.65</v>
      </c>
      <c r="E17" s="59">
        <f>ROUND(N!E17/2,2)</f>
        <v>27.65</v>
      </c>
      <c r="G17" s="59">
        <f>ROUND(N!G17/2,2)</f>
        <v>27.65</v>
      </c>
      <c r="H17" s="59">
        <f>ROUND(N!H17/2,2)</f>
        <v>27.65</v>
      </c>
      <c r="I17" s="59">
        <f>ROUND(N!I17/2,2)</f>
        <v>27.65</v>
      </c>
      <c r="J17" s="59">
        <f>ROUND(N!J17/2,2)</f>
        <v>27.65</v>
      </c>
      <c r="K17" s="59">
        <f>ROUND(N!K17/2,2)</f>
        <v>27.65</v>
      </c>
      <c r="L17" s="59">
        <f>ROUND(N!L17/2,2)</f>
        <v>27.65</v>
      </c>
      <c r="N17" s="59">
        <f>ROUND(N!O17/2,2)</f>
        <v>27.65</v>
      </c>
      <c r="P17" s="59">
        <f>ROUND(N!Q17/2,2)</f>
        <v>30.68</v>
      </c>
      <c r="Q17" s="59">
        <f>ROUND(N!R17/2,2)</f>
        <v>30.12</v>
      </c>
      <c r="R17" s="59">
        <f>ROUND(N!S17/2,2)</f>
        <v>30.12</v>
      </c>
      <c r="S17" s="59">
        <f>ROUND(N!T17/2,2)</f>
        <v>30.12</v>
      </c>
      <c r="T17" s="59">
        <f>ROUND(N!U17/2,2)</f>
        <v>30.12</v>
      </c>
      <c r="V17" s="59">
        <f>ROUND(N!X17/2,2)</f>
        <v>30.12</v>
      </c>
    </row>
    <row r="18" spans="1:22" ht="15.75" hidden="1" customHeight="1" outlineLevel="1" thickBot="1">
      <c r="A18" s="54">
        <f t="shared" si="1"/>
        <v>10</v>
      </c>
      <c r="C18" s="59">
        <f>ROUND(N!C18/2,2)</f>
        <v>27.65</v>
      </c>
      <c r="D18" s="59">
        <f>ROUND(N!D18/2,2)</f>
        <v>27.65</v>
      </c>
      <c r="E18" s="59">
        <f>ROUND(N!E18/2,2)</f>
        <v>27.65</v>
      </c>
      <c r="G18" s="59">
        <f>ROUND(N!G18/2,2)</f>
        <v>27.65</v>
      </c>
      <c r="H18" s="59">
        <f>ROUND(N!H18/2,2)</f>
        <v>27.65</v>
      </c>
      <c r="I18" s="59">
        <f>ROUND(N!I18/2,2)</f>
        <v>27.65</v>
      </c>
      <c r="J18" s="59">
        <f>ROUND(N!J18/2,2)</f>
        <v>27.65</v>
      </c>
      <c r="K18" s="59">
        <f>ROUND(N!K18/2,2)</f>
        <v>27.65</v>
      </c>
      <c r="L18" s="59">
        <f>ROUND(N!L18/2,2)</f>
        <v>27.65</v>
      </c>
      <c r="N18" s="59">
        <f>ROUND(N!O18/2,2)</f>
        <v>27.65</v>
      </c>
      <c r="P18" s="59">
        <f>ROUND(N!Q18/2,2)</f>
        <v>30.68</v>
      </c>
      <c r="Q18" s="59">
        <f>ROUND(N!R18/2,2)</f>
        <v>30.12</v>
      </c>
      <c r="R18" s="59">
        <f>ROUND(N!S18/2,2)</f>
        <v>30.12</v>
      </c>
      <c r="S18" s="59">
        <f>ROUND(N!T18/2,2)</f>
        <v>30.12</v>
      </c>
      <c r="T18" s="59">
        <f>ROUND(N!U18/2,2)</f>
        <v>30.12</v>
      </c>
      <c r="V18" s="59">
        <f>ROUND(N!X18/2,2)</f>
        <v>30.12</v>
      </c>
    </row>
    <row r="19" spans="1:22" ht="15.75" hidden="1" customHeight="1" outlineLevel="1" thickBot="1">
      <c r="A19" s="54">
        <f t="shared" si="1"/>
        <v>11</v>
      </c>
      <c r="C19" s="59">
        <f>ROUND(N!C19/2,2)</f>
        <v>27.65</v>
      </c>
      <c r="D19" s="59">
        <f>ROUND(N!D19/2,2)</f>
        <v>27.65</v>
      </c>
      <c r="E19" s="59">
        <f>ROUND(N!E19/2,2)</f>
        <v>27.65</v>
      </c>
      <c r="G19" s="59">
        <f>ROUND(N!G19/2,2)</f>
        <v>27.65</v>
      </c>
      <c r="H19" s="59">
        <f>ROUND(N!H19/2,2)</f>
        <v>27.65</v>
      </c>
      <c r="I19" s="59">
        <f>ROUND(N!I19/2,2)</f>
        <v>27.65</v>
      </c>
      <c r="J19" s="59">
        <f>ROUND(N!J19/2,2)</f>
        <v>27.65</v>
      </c>
      <c r="K19" s="59">
        <f>ROUND(N!K19/2,2)</f>
        <v>27.65</v>
      </c>
      <c r="L19" s="59">
        <f>ROUND(N!L19/2,2)</f>
        <v>27.65</v>
      </c>
      <c r="N19" s="59">
        <f>ROUND(N!O19/2,2)</f>
        <v>27.65</v>
      </c>
      <c r="P19" s="59">
        <f>ROUND(N!Q19/2,2)</f>
        <v>30.68</v>
      </c>
      <c r="Q19" s="59">
        <f>ROUND(N!R19/2,2)</f>
        <v>30.12</v>
      </c>
      <c r="R19" s="59">
        <f>ROUND(N!S19/2,2)</f>
        <v>30.12</v>
      </c>
      <c r="S19" s="59">
        <f>ROUND(N!T19/2,2)</f>
        <v>30.12</v>
      </c>
      <c r="T19" s="59">
        <f>ROUND(N!U19/2,2)</f>
        <v>30.12</v>
      </c>
      <c r="V19" s="59">
        <f>ROUND(N!X19/2,2)</f>
        <v>30.12</v>
      </c>
    </row>
    <row r="20" spans="1:22" ht="15.75" hidden="1" customHeight="1" outlineLevel="1" thickBot="1">
      <c r="A20" s="54">
        <f t="shared" si="1"/>
        <v>12</v>
      </c>
      <c r="C20" s="59">
        <f>ROUND(N!C20/2,2)</f>
        <v>27.65</v>
      </c>
      <c r="D20" s="59">
        <f>ROUND(N!D20/2,2)</f>
        <v>27.65</v>
      </c>
      <c r="E20" s="59">
        <f>ROUND(N!E20/2,2)</f>
        <v>27.65</v>
      </c>
      <c r="G20" s="59">
        <f>ROUND(N!G20/2,2)</f>
        <v>27.65</v>
      </c>
      <c r="H20" s="59">
        <f>ROUND(N!H20/2,2)</f>
        <v>27.65</v>
      </c>
      <c r="I20" s="59">
        <f>ROUND(N!I20/2,2)</f>
        <v>27.65</v>
      </c>
      <c r="J20" s="59">
        <f>ROUND(N!J20/2,2)</f>
        <v>27.65</v>
      </c>
      <c r="K20" s="59">
        <f>ROUND(N!K20/2,2)</f>
        <v>27.65</v>
      </c>
      <c r="L20" s="59">
        <f>ROUND(N!L20/2,2)</f>
        <v>27.65</v>
      </c>
      <c r="N20" s="59">
        <f>ROUND(N!O20/2,2)</f>
        <v>27.65</v>
      </c>
      <c r="P20" s="59">
        <f>ROUND(N!Q20/2,2)</f>
        <v>30.68</v>
      </c>
      <c r="Q20" s="59">
        <f>ROUND(N!R20/2,2)</f>
        <v>30.12</v>
      </c>
      <c r="R20" s="59">
        <f>ROUND(N!S20/2,2)</f>
        <v>30.12</v>
      </c>
      <c r="S20" s="59">
        <f>ROUND(N!T20/2,2)</f>
        <v>30.12</v>
      </c>
      <c r="T20" s="59">
        <f>ROUND(N!U20/2,2)</f>
        <v>30.12</v>
      </c>
      <c r="V20" s="59">
        <f>ROUND(N!X20/2,2)</f>
        <v>30.12</v>
      </c>
    </row>
    <row r="21" spans="1:22" ht="15.75" hidden="1" customHeight="1" outlineLevel="1" thickBot="1">
      <c r="A21" s="54">
        <f t="shared" si="1"/>
        <v>13</v>
      </c>
      <c r="C21" s="59">
        <f>ROUND(N!C21/2,2)</f>
        <v>27.65</v>
      </c>
      <c r="D21" s="59">
        <f>ROUND(N!D21/2,2)</f>
        <v>27.65</v>
      </c>
      <c r="E21" s="59">
        <f>ROUND(N!E21/2,2)</f>
        <v>27.65</v>
      </c>
      <c r="G21" s="59">
        <f>ROUND(N!G21/2,2)</f>
        <v>27.65</v>
      </c>
      <c r="H21" s="59">
        <f>ROUND(N!H21/2,2)</f>
        <v>27.65</v>
      </c>
      <c r="I21" s="59">
        <f>ROUND(N!I21/2,2)</f>
        <v>27.65</v>
      </c>
      <c r="J21" s="59">
        <f>ROUND(N!J21/2,2)</f>
        <v>27.65</v>
      </c>
      <c r="K21" s="59">
        <f>ROUND(N!K21/2,2)</f>
        <v>27.65</v>
      </c>
      <c r="L21" s="59">
        <f>ROUND(N!L21/2,2)</f>
        <v>27.65</v>
      </c>
      <c r="N21" s="59">
        <f>ROUND(N!O21/2,2)</f>
        <v>27.65</v>
      </c>
      <c r="P21" s="59">
        <f>ROUND(N!Q21/2,2)</f>
        <v>30.68</v>
      </c>
      <c r="Q21" s="59">
        <f>ROUND(N!R21/2,2)</f>
        <v>30.12</v>
      </c>
      <c r="R21" s="59">
        <f>ROUND(N!S21/2,2)</f>
        <v>30.12</v>
      </c>
      <c r="S21" s="59">
        <f>ROUND(N!T21/2,2)</f>
        <v>30.12</v>
      </c>
      <c r="T21" s="59">
        <f>ROUND(N!U21/2,2)</f>
        <v>30.12</v>
      </c>
      <c r="V21" s="59">
        <f>ROUND(N!X21/2,2)</f>
        <v>30.12</v>
      </c>
    </row>
    <row r="22" spans="1:22" ht="15.75" hidden="1" customHeight="1" outlineLevel="1" thickBot="1">
      <c r="A22" s="54">
        <f t="shared" si="1"/>
        <v>14</v>
      </c>
      <c r="C22" s="59">
        <f>ROUND(N!C22/2,2)</f>
        <v>27.65</v>
      </c>
      <c r="D22" s="59">
        <f>ROUND(N!D22/2,2)</f>
        <v>27.65</v>
      </c>
      <c r="E22" s="59">
        <f>ROUND(N!E22/2,2)</f>
        <v>27.65</v>
      </c>
      <c r="G22" s="59">
        <f>ROUND(N!G22/2,2)</f>
        <v>27.65</v>
      </c>
      <c r="H22" s="59">
        <f>ROUND(N!H22/2,2)</f>
        <v>27.65</v>
      </c>
      <c r="I22" s="59">
        <f>ROUND(N!I22/2,2)</f>
        <v>27.65</v>
      </c>
      <c r="J22" s="59">
        <f>ROUND(N!J22/2,2)</f>
        <v>27.65</v>
      </c>
      <c r="K22" s="59">
        <f>ROUND(N!K22/2,2)</f>
        <v>27.65</v>
      </c>
      <c r="L22" s="59">
        <f>ROUND(N!L22/2,2)</f>
        <v>27.65</v>
      </c>
      <c r="N22" s="59">
        <f>ROUND(N!O22/2,2)</f>
        <v>27.65</v>
      </c>
      <c r="P22" s="59">
        <f>ROUND(N!Q22/2,2)</f>
        <v>30.68</v>
      </c>
      <c r="Q22" s="59">
        <f>ROUND(N!R22/2,2)</f>
        <v>30.12</v>
      </c>
      <c r="R22" s="59">
        <f>ROUND(N!S22/2,2)</f>
        <v>30.12</v>
      </c>
      <c r="S22" s="59">
        <f>ROUND(N!T22/2,2)</f>
        <v>30.12</v>
      </c>
      <c r="T22" s="59">
        <f>ROUND(N!U22/2,2)</f>
        <v>30.12</v>
      </c>
      <c r="V22" s="59">
        <f>ROUND(N!X22/2,2)</f>
        <v>30.12</v>
      </c>
    </row>
    <row r="23" spans="1:22" ht="15.75" hidden="1" customHeight="1" outlineLevel="1" thickBot="1">
      <c r="A23" s="54">
        <f t="shared" si="1"/>
        <v>15</v>
      </c>
      <c r="C23" s="59">
        <f>ROUND(N!C23/2,2)</f>
        <v>27.65</v>
      </c>
      <c r="D23" s="59">
        <f>ROUND(N!D23/2,2)</f>
        <v>27.65</v>
      </c>
      <c r="E23" s="59">
        <f>ROUND(N!E23/2,2)</f>
        <v>27.65</v>
      </c>
      <c r="G23" s="59">
        <f>ROUND(N!G23/2,2)</f>
        <v>27.65</v>
      </c>
      <c r="H23" s="59">
        <f>ROUND(N!H23/2,2)</f>
        <v>27.65</v>
      </c>
      <c r="I23" s="59">
        <f>ROUND(N!I23/2,2)</f>
        <v>27.65</v>
      </c>
      <c r="J23" s="59">
        <f>ROUND(N!J23/2,2)</f>
        <v>27.65</v>
      </c>
      <c r="K23" s="59">
        <f>ROUND(N!K23/2,2)</f>
        <v>27.65</v>
      </c>
      <c r="L23" s="59">
        <f>ROUND(N!L23/2,2)</f>
        <v>27.65</v>
      </c>
      <c r="N23" s="59">
        <f>ROUND(N!O23/2,2)</f>
        <v>27.65</v>
      </c>
      <c r="P23" s="59">
        <f>ROUND(N!Q23/2,2)</f>
        <v>30.68</v>
      </c>
      <c r="Q23" s="59">
        <f>ROUND(N!R23/2,2)</f>
        <v>30.12</v>
      </c>
      <c r="R23" s="59">
        <f>ROUND(N!S23/2,2)</f>
        <v>30.12</v>
      </c>
      <c r="S23" s="59">
        <f>ROUND(N!T23/2,2)</f>
        <v>30.12</v>
      </c>
      <c r="T23" s="59">
        <f>ROUND(N!U23/2,2)</f>
        <v>30.12</v>
      </c>
      <c r="V23" s="59">
        <f>ROUND(N!X23/2,2)</f>
        <v>30.12</v>
      </c>
    </row>
    <row r="24" spans="1:22" ht="15.75" hidden="1" customHeight="1" outlineLevel="1" thickBot="1">
      <c r="A24" s="54">
        <f t="shared" si="1"/>
        <v>16</v>
      </c>
      <c r="C24" s="59">
        <f>ROUND(N!C24/2,2)</f>
        <v>27.65</v>
      </c>
      <c r="D24" s="59">
        <f>ROUND(N!D24/2,2)</f>
        <v>27.65</v>
      </c>
      <c r="E24" s="59">
        <f>ROUND(N!E24/2,2)</f>
        <v>27.65</v>
      </c>
      <c r="G24" s="59">
        <f>ROUND(N!G24/2,2)</f>
        <v>27.65</v>
      </c>
      <c r="H24" s="59">
        <f>ROUND(N!H24/2,2)</f>
        <v>27.65</v>
      </c>
      <c r="I24" s="59">
        <f>ROUND(N!I24/2,2)</f>
        <v>27.65</v>
      </c>
      <c r="J24" s="59">
        <f>ROUND(N!J24/2,2)</f>
        <v>27.65</v>
      </c>
      <c r="K24" s="59">
        <f>ROUND(N!K24/2,2)</f>
        <v>27.65</v>
      </c>
      <c r="L24" s="59">
        <f>ROUND(N!L24/2,2)</f>
        <v>27.65</v>
      </c>
      <c r="N24" s="59">
        <f>ROUND(N!O24/2,2)</f>
        <v>27.65</v>
      </c>
      <c r="P24" s="59">
        <f>ROUND(N!Q24/2,2)</f>
        <v>30.68</v>
      </c>
      <c r="Q24" s="59">
        <f>ROUND(N!R24/2,2)</f>
        <v>30.12</v>
      </c>
      <c r="R24" s="59">
        <f>ROUND(N!S24/2,2)</f>
        <v>30.12</v>
      </c>
      <c r="S24" s="59">
        <f>ROUND(N!T24/2,2)</f>
        <v>30.12</v>
      </c>
      <c r="T24" s="59">
        <f>ROUND(N!U24/2,2)</f>
        <v>30.12</v>
      </c>
      <c r="V24" s="59">
        <f>ROUND(N!X24/2,2)</f>
        <v>30.12</v>
      </c>
    </row>
    <row r="25" spans="1:22" ht="15.75" hidden="1" customHeight="1" outlineLevel="1" thickBot="1">
      <c r="A25" s="54">
        <f t="shared" si="1"/>
        <v>17</v>
      </c>
      <c r="C25" s="59">
        <f>ROUND(N!C25/2,2)</f>
        <v>27.65</v>
      </c>
      <c r="D25" s="59">
        <f>ROUND(N!D25/2,2)</f>
        <v>27.65</v>
      </c>
      <c r="E25" s="59">
        <f>ROUND(N!E25/2,2)</f>
        <v>27.65</v>
      </c>
      <c r="G25" s="59">
        <f>ROUND(N!G25/2,2)</f>
        <v>27.65</v>
      </c>
      <c r="H25" s="59">
        <f>ROUND(N!H25/2,2)</f>
        <v>27.65</v>
      </c>
      <c r="I25" s="59">
        <f>ROUND(N!I25/2,2)</f>
        <v>27.65</v>
      </c>
      <c r="J25" s="59">
        <f>ROUND(N!J25/2,2)</f>
        <v>27.65</v>
      </c>
      <c r="K25" s="59">
        <f>ROUND(N!K25/2,2)</f>
        <v>27.65</v>
      </c>
      <c r="L25" s="59">
        <f>ROUND(N!L25/2,2)</f>
        <v>27.65</v>
      </c>
      <c r="N25" s="59">
        <f>ROUND(N!O25/2,2)</f>
        <v>27.65</v>
      </c>
      <c r="P25" s="59">
        <f>ROUND(N!Q25/2,2)</f>
        <v>30.68</v>
      </c>
      <c r="Q25" s="59">
        <f>ROUND(N!R25/2,2)</f>
        <v>30.12</v>
      </c>
      <c r="R25" s="59">
        <f>ROUND(N!S25/2,2)</f>
        <v>30.12</v>
      </c>
      <c r="S25" s="59">
        <f>ROUND(N!T25/2,2)</f>
        <v>30.12</v>
      </c>
      <c r="T25" s="59">
        <f>ROUND(N!U25/2,2)</f>
        <v>30.12</v>
      </c>
      <c r="V25" s="59">
        <f>ROUND(N!X25/2,2)</f>
        <v>30.12</v>
      </c>
    </row>
    <row r="26" spans="1:22" ht="15.75" hidden="1" customHeight="1" outlineLevel="1" thickBot="1">
      <c r="A26" s="54">
        <f t="shared" si="1"/>
        <v>18</v>
      </c>
      <c r="C26" s="59">
        <f>ROUND(N!C26/2,2)</f>
        <v>27.65</v>
      </c>
      <c r="D26" s="59">
        <f>ROUND(N!D26/2,2)</f>
        <v>27.65</v>
      </c>
      <c r="E26" s="59">
        <f>ROUND(N!E26/2,2)</f>
        <v>27.65</v>
      </c>
      <c r="G26" s="59">
        <f>ROUND(N!G26/2,2)</f>
        <v>27.65</v>
      </c>
      <c r="H26" s="59">
        <f>ROUND(N!H26/2,2)</f>
        <v>27.65</v>
      </c>
      <c r="I26" s="59">
        <f>ROUND(N!I26/2,2)</f>
        <v>27.65</v>
      </c>
      <c r="J26" s="59">
        <f>ROUND(N!J26/2,2)</f>
        <v>27.65</v>
      </c>
      <c r="K26" s="59">
        <f>ROUND(N!K26/2,2)</f>
        <v>27.65</v>
      </c>
      <c r="L26" s="59">
        <f>ROUND(N!L26/2,2)</f>
        <v>27.65</v>
      </c>
      <c r="N26" s="59">
        <f>ROUND(N!O26/2,2)</f>
        <v>27.65</v>
      </c>
      <c r="P26" s="59">
        <f>ROUND(N!Q26/2,2)</f>
        <v>30.68</v>
      </c>
      <c r="Q26" s="59">
        <f>ROUND(N!R26/2,2)</f>
        <v>30.12</v>
      </c>
      <c r="R26" s="59">
        <f>ROUND(N!S26/2,2)</f>
        <v>30.12</v>
      </c>
      <c r="S26" s="59">
        <f>ROUND(N!T26/2,2)</f>
        <v>30.12</v>
      </c>
      <c r="T26" s="59">
        <f>ROUND(N!U26/2,2)</f>
        <v>30.12</v>
      </c>
      <c r="V26" s="59">
        <f>ROUND(N!X26/2,2)</f>
        <v>30.12</v>
      </c>
    </row>
    <row r="27" spans="1:22" ht="15.75" hidden="1" customHeight="1" outlineLevel="1" thickBot="1">
      <c r="A27" s="54">
        <f t="shared" si="1"/>
        <v>19</v>
      </c>
      <c r="C27" s="59">
        <f>ROUND(N!C27/2,2)</f>
        <v>27.65</v>
      </c>
      <c r="D27" s="59">
        <f>ROUND(N!D27/2,2)</f>
        <v>27.65</v>
      </c>
      <c r="E27" s="59">
        <f>ROUND(N!E27/2,2)</f>
        <v>27.65</v>
      </c>
      <c r="G27" s="59">
        <f>ROUND(N!G27/2,2)</f>
        <v>27.65</v>
      </c>
      <c r="H27" s="59">
        <f>ROUND(N!H27/2,2)</f>
        <v>27.65</v>
      </c>
      <c r="I27" s="59">
        <f>ROUND(N!I27/2,2)</f>
        <v>27.65</v>
      </c>
      <c r="J27" s="59">
        <f>ROUND(N!J27/2,2)</f>
        <v>27.65</v>
      </c>
      <c r="K27" s="59">
        <f>ROUND(N!K27/2,2)</f>
        <v>27.65</v>
      </c>
      <c r="L27" s="59">
        <f>ROUND(N!L27/2,2)</f>
        <v>27.65</v>
      </c>
      <c r="N27" s="59">
        <f>ROUND(N!O27/2,2)</f>
        <v>27.65</v>
      </c>
      <c r="P27" s="59">
        <f>ROUND(N!Q27/2,2)</f>
        <v>30.68</v>
      </c>
      <c r="Q27" s="59">
        <f>ROUND(N!R27/2,2)</f>
        <v>30.12</v>
      </c>
      <c r="R27" s="59">
        <f>ROUND(N!S27/2,2)</f>
        <v>30.12</v>
      </c>
      <c r="S27" s="59">
        <f>ROUND(N!T27/2,2)</f>
        <v>30.12</v>
      </c>
      <c r="T27" s="59">
        <f>ROUND(N!U27/2,2)</f>
        <v>30.12</v>
      </c>
      <c r="V27" s="59">
        <f>ROUND(N!X27/2,2)</f>
        <v>30.12</v>
      </c>
    </row>
    <row r="28" spans="1:22" ht="15.75" hidden="1" customHeight="1" outlineLevel="1" thickBot="1">
      <c r="A28" s="54">
        <f t="shared" si="1"/>
        <v>20</v>
      </c>
      <c r="C28" s="59">
        <f>ROUND(N!C28/2,2)</f>
        <v>27.65</v>
      </c>
      <c r="D28" s="59">
        <f>ROUND(N!D28/2,2)</f>
        <v>27.65</v>
      </c>
      <c r="E28" s="59">
        <f>ROUND(N!E28/2,2)</f>
        <v>27.65</v>
      </c>
      <c r="G28" s="59">
        <f>ROUND(N!G28/2,2)</f>
        <v>27.65</v>
      </c>
      <c r="H28" s="59">
        <f>ROUND(N!H28/2,2)</f>
        <v>27.65</v>
      </c>
      <c r="I28" s="59">
        <f>ROUND(N!I28/2,2)</f>
        <v>27.65</v>
      </c>
      <c r="J28" s="59">
        <f>ROUND(N!J28/2,2)</f>
        <v>27.65</v>
      </c>
      <c r="K28" s="59">
        <f>ROUND(N!K28/2,2)</f>
        <v>27.65</v>
      </c>
      <c r="L28" s="59">
        <f>ROUND(N!L28/2,2)</f>
        <v>27.65</v>
      </c>
      <c r="N28" s="59">
        <f>ROUND(N!O28/2,2)</f>
        <v>27.65</v>
      </c>
      <c r="P28" s="59">
        <f>ROUND(N!Q28/2,2)</f>
        <v>30.68</v>
      </c>
      <c r="Q28" s="59">
        <f>ROUND(N!R28/2,2)</f>
        <v>30.12</v>
      </c>
      <c r="R28" s="59">
        <f>ROUND(N!S28/2,2)</f>
        <v>30.12</v>
      </c>
      <c r="S28" s="59">
        <f>ROUND(N!T28/2,2)</f>
        <v>30.12</v>
      </c>
      <c r="T28" s="59">
        <f>ROUND(N!U28/2,2)</f>
        <v>30.12</v>
      </c>
      <c r="V28" s="59">
        <f>ROUND(N!X28/2,2)</f>
        <v>30.12</v>
      </c>
    </row>
    <row r="29" spans="1:22" ht="15.75" hidden="1" customHeight="1" outlineLevel="1" thickBot="1">
      <c r="A29" s="54">
        <f t="shared" si="1"/>
        <v>21</v>
      </c>
      <c r="C29" s="59">
        <f>ROUND(N!C29/2,2)</f>
        <v>27.65</v>
      </c>
      <c r="D29" s="59">
        <f>ROUND(N!D29/2,2)</f>
        <v>27.65</v>
      </c>
      <c r="E29" s="59">
        <f>ROUND(N!E29/2,2)</f>
        <v>27.65</v>
      </c>
      <c r="G29" s="59">
        <f>ROUND(N!G29/2,2)</f>
        <v>27.65</v>
      </c>
      <c r="H29" s="59">
        <f>ROUND(N!H29/2,2)</f>
        <v>27.65</v>
      </c>
      <c r="I29" s="59">
        <f>ROUND(N!I29/2,2)</f>
        <v>27.65</v>
      </c>
      <c r="J29" s="59">
        <f>ROUND(N!J29/2,2)</f>
        <v>27.65</v>
      </c>
      <c r="K29" s="59">
        <f>ROUND(N!K29/2,2)</f>
        <v>27.65</v>
      </c>
      <c r="L29" s="59">
        <f>ROUND(N!L29/2,2)</f>
        <v>27.65</v>
      </c>
      <c r="N29" s="59">
        <f>ROUND(N!O29/2,2)</f>
        <v>27.65</v>
      </c>
      <c r="P29" s="59">
        <f>ROUND(N!Q29/2,2)</f>
        <v>30.68</v>
      </c>
      <c r="Q29" s="59">
        <f>ROUND(N!R29/2,2)</f>
        <v>30.12</v>
      </c>
      <c r="R29" s="59">
        <f>ROUND(N!S29/2,2)</f>
        <v>30.12</v>
      </c>
      <c r="S29" s="59">
        <f>ROUND(N!T29/2,2)</f>
        <v>30.12</v>
      </c>
      <c r="T29" s="59">
        <f>ROUND(N!U29/2,2)</f>
        <v>30.12</v>
      </c>
      <c r="V29" s="59">
        <f>ROUND(N!X29/2,2)</f>
        <v>30.12</v>
      </c>
    </row>
    <row r="30" spans="1:22" ht="15.75" hidden="1" customHeight="1" outlineLevel="1" thickBot="1">
      <c r="A30" s="54">
        <f t="shared" si="1"/>
        <v>22</v>
      </c>
      <c r="C30" s="59">
        <f>ROUND(N!C30/2,2)</f>
        <v>27.65</v>
      </c>
      <c r="D30" s="59">
        <f>ROUND(N!D30/2,2)</f>
        <v>27.65</v>
      </c>
      <c r="E30" s="59">
        <f>ROUND(N!E30/2,2)</f>
        <v>27.65</v>
      </c>
      <c r="G30" s="59">
        <f>ROUND(N!G30/2,2)</f>
        <v>27.65</v>
      </c>
      <c r="H30" s="59">
        <f>ROUND(N!H30/2,2)</f>
        <v>27.65</v>
      </c>
      <c r="I30" s="59">
        <f>ROUND(N!I30/2,2)</f>
        <v>27.65</v>
      </c>
      <c r="J30" s="59">
        <f>ROUND(N!J30/2,2)</f>
        <v>27.65</v>
      </c>
      <c r="K30" s="59">
        <f>ROUND(N!K30/2,2)</f>
        <v>27.65</v>
      </c>
      <c r="L30" s="59">
        <f>ROUND(N!L30/2,2)</f>
        <v>27.65</v>
      </c>
      <c r="N30" s="59">
        <f>ROUND(N!O30/2,2)</f>
        <v>27.65</v>
      </c>
      <c r="P30" s="59">
        <f>ROUND(N!Q30/2,2)</f>
        <v>30.68</v>
      </c>
      <c r="Q30" s="59">
        <f>ROUND(N!R30/2,2)</f>
        <v>30.12</v>
      </c>
      <c r="R30" s="59">
        <f>ROUND(N!S30/2,2)</f>
        <v>30.12</v>
      </c>
      <c r="S30" s="59">
        <f>ROUND(N!T30/2,2)</f>
        <v>30.12</v>
      </c>
      <c r="T30" s="59">
        <f>ROUND(N!U30/2,2)</f>
        <v>30.12</v>
      </c>
      <c r="V30" s="59">
        <f>ROUND(N!X30/2,2)</f>
        <v>30.12</v>
      </c>
    </row>
    <row r="31" spans="1:22" ht="15.75" hidden="1" customHeight="1" outlineLevel="1" thickBot="1">
      <c r="A31" s="54">
        <f t="shared" si="1"/>
        <v>23</v>
      </c>
      <c r="C31" s="59">
        <f>ROUND(N!C31/2,2)</f>
        <v>27.65</v>
      </c>
      <c r="D31" s="59">
        <f>ROUND(N!D31/2,2)</f>
        <v>27.65</v>
      </c>
      <c r="E31" s="59">
        <f>ROUND(N!E31/2,2)</f>
        <v>27.65</v>
      </c>
      <c r="G31" s="59">
        <f>ROUND(N!G31/2,2)</f>
        <v>27.65</v>
      </c>
      <c r="H31" s="59">
        <f>ROUND(N!H31/2,2)</f>
        <v>27.65</v>
      </c>
      <c r="I31" s="59">
        <f>ROUND(N!I31/2,2)</f>
        <v>27.65</v>
      </c>
      <c r="J31" s="59">
        <f>ROUND(N!J31/2,2)</f>
        <v>27.65</v>
      </c>
      <c r="K31" s="59">
        <f>ROUND(N!K31/2,2)</f>
        <v>27.65</v>
      </c>
      <c r="L31" s="59">
        <f>ROUND(N!L31/2,2)</f>
        <v>27.65</v>
      </c>
      <c r="N31" s="59">
        <f>ROUND(N!O31/2,2)</f>
        <v>27.65</v>
      </c>
      <c r="P31" s="59">
        <f>ROUND(N!Q31/2,2)</f>
        <v>30.68</v>
      </c>
      <c r="Q31" s="59">
        <f>ROUND(N!R31/2,2)</f>
        <v>30.12</v>
      </c>
      <c r="R31" s="59">
        <f>ROUND(N!S31/2,2)</f>
        <v>30.12</v>
      </c>
      <c r="S31" s="59">
        <f>ROUND(N!T31/2,2)</f>
        <v>30.12</v>
      </c>
      <c r="T31" s="59">
        <f>ROUND(N!U31/2,2)</f>
        <v>30.12</v>
      </c>
      <c r="V31" s="59">
        <f>ROUND(N!X31/2,2)</f>
        <v>30.12</v>
      </c>
    </row>
    <row r="32" spans="1:22" ht="15.75" hidden="1" customHeight="1" outlineLevel="1" thickBot="1">
      <c r="A32" s="54">
        <f t="shared" si="1"/>
        <v>24</v>
      </c>
      <c r="C32" s="59">
        <f>ROUND(N!C32/2,2)</f>
        <v>27.65</v>
      </c>
      <c r="D32" s="59">
        <f>ROUND(N!D32/2,2)</f>
        <v>27.65</v>
      </c>
      <c r="E32" s="59">
        <f>ROUND(N!E32/2,2)</f>
        <v>27.65</v>
      </c>
      <c r="G32" s="59">
        <f>ROUND(N!G32/2,2)</f>
        <v>27.65</v>
      </c>
      <c r="H32" s="59">
        <f>ROUND(N!H32/2,2)</f>
        <v>27.65</v>
      </c>
      <c r="I32" s="59">
        <f>ROUND(N!I32/2,2)</f>
        <v>27.65</v>
      </c>
      <c r="J32" s="59">
        <f>ROUND(N!J32/2,2)</f>
        <v>27.65</v>
      </c>
      <c r="K32" s="59">
        <f>ROUND(N!K32/2,2)</f>
        <v>27.65</v>
      </c>
      <c r="L32" s="59">
        <f>ROUND(N!L32/2,2)</f>
        <v>27.65</v>
      </c>
      <c r="N32" s="59">
        <f>ROUND(N!O32/2,2)</f>
        <v>27.65</v>
      </c>
      <c r="P32" s="59">
        <f>ROUND(N!Q32/2,2)</f>
        <v>30.68</v>
      </c>
      <c r="Q32" s="59">
        <f>ROUND(N!R32/2,2)</f>
        <v>30.12</v>
      </c>
      <c r="R32" s="59">
        <f>ROUND(N!S32/2,2)</f>
        <v>30.12</v>
      </c>
      <c r="S32" s="59">
        <f>ROUND(N!T32/2,2)</f>
        <v>30.12</v>
      </c>
      <c r="T32" s="59">
        <f>ROUND(N!U32/2,2)</f>
        <v>30.12</v>
      </c>
      <c r="V32" s="59">
        <f>ROUND(N!X32/2,2)</f>
        <v>30.12</v>
      </c>
    </row>
    <row r="33" spans="1:22" ht="15.75" hidden="1" customHeight="1" outlineLevel="1" thickBot="1">
      <c r="A33" s="54">
        <f t="shared" si="1"/>
        <v>25</v>
      </c>
      <c r="C33" s="59">
        <f>ROUND(N!C33/2,2)</f>
        <v>27.65</v>
      </c>
      <c r="D33" s="59">
        <f>ROUND(N!D33/2,2)</f>
        <v>27.65</v>
      </c>
      <c r="E33" s="59">
        <f>ROUND(N!E33/2,2)</f>
        <v>27.65</v>
      </c>
      <c r="G33" s="59">
        <f>ROUND(N!G33/2,2)</f>
        <v>27.65</v>
      </c>
      <c r="H33" s="59">
        <f>ROUND(N!H33/2,2)</f>
        <v>27.65</v>
      </c>
      <c r="I33" s="59">
        <f>ROUND(N!I33/2,2)</f>
        <v>27.65</v>
      </c>
      <c r="J33" s="59">
        <f>ROUND(N!J33/2,2)</f>
        <v>27.65</v>
      </c>
      <c r="K33" s="59">
        <f>ROUND(N!K33/2,2)</f>
        <v>27.65</v>
      </c>
      <c r="L33" s="59">
        <f>ROUND(N!L33/2,2)</f>
        <v>27.65</v>
      </c>
      <c r="N33" s="59">
        <f>ROUND(N!O33/2,2)</f>
        <v>27.65</v>
      </c>
      <c r="P33" s="59">
        <f>ROUND(N!Q33/2,2)</f>
        <v>30.68</v>
      </c>
      <c r="Q33" s="59">
        <f>ROUND(N!R33/2,2)</f>
        <v>30.12</v>
      </c>
      <c r="R33" s="59">
        <f>ROUND(N!S33/2,2)</f>
        <v>30.12</v>
      </c>
      <c r="S33" s="59">
        <f>ROUND(N!T33/2,2)</f>
        <v>30.12</v>
      </c>
      <c r="T33" s="59">
        <f>ROUND(N!U33/2,2)</f>
        <v>30.12</v>
      </c>
      <c r="V33" s="59">
        <f>ROUND(N!X33/2,2)</f>
        <v>30.12</v>
      </c>
    </row>
    <row r="34" spans="1:22" ht="15.75" hidden="1" customHeight="1" outlineLevel="1" thickBot="1">
      <c r="A34" s="54">
        <f t="shared" si="1"/>
        <v>26</v>
      </c>
      <c r="C34" s="59">
        <f>ROUND(N!C34/2,2)</f>
        <v>27.65</v>
      </c>
      <c r="D34" s="59">
        <f>ROUND(N!D34/2,2)</f>
        <v>27.65</v>
      </c>
      <c r="E34" s="59">
        <f>ROUND(N!E34/2,2)</f>
        <v>27.65</v>
      </c>
      <c r="G34" s="59">
        <f>ROUND(N!G34/2,2)</f>
        <v>27.65</v>
      </c>
      <c r="H34" s="59">
        <f>ROUND(N!H34/2,2)</f>
        <v>27.65</v>
      </c>
      <c r="I34" s="59">
        <f>ROUND(N!I34/2,2)</f>
        <v>27.65</v>
      </c>
      <c r="J34" s="59">
        <f>ROUND(N!J34/2,2)</f>
        <v>27.65</v>
      </c>
      <c r="K34" s="59">
        <f>ROUND(N!K34/2,2)</f>
        <v>27.65</v>
      </c>
      <c r="L34" s="59">
        <f>ROUND(N!L34/2,2)</f>
        <v>27.65</v>
      </c>
      <c r="N34" s="59">
        <f>ROUND(N!O34/2,2)</f>
        <v>27.65</v>
      </c>
      <c r="P34" s="59">
        <f>ROUND(N!Q34/2,2)</f>
        <v>30.68</v>
      </c>
      <c r="Q34" s="59">
        <f>ROUND(N!R34/2,2)</f>
        <v>30.12</v>
      </c>
      <c r="R34" s="59">
        <f>ROUND(N!S34/2,2)</f>
        <v>30.12</v>
      </c>
      <c r="S34" s="59">
        <f>ROUND(N!T34/2,2)</f>
        <v>30.12</v>
      </c>
      <c r="T34" s="59">
        <f>ROUND(N!U34/2,2)</f>
        <v>30.12</v>
      </c>
      <c r="V34" s="59">
        <f>ROUND(N!X34/2,2)</f>
        <v>30.12</v>
      </c>
    </row>
    <row r="35" spans="1:22" ht="15.75" hidden="1" customHeight="1" outlineLevel="1" thickBot="1">
      <c r="A35" s="54">
        <f t="shared" si="1"/>
        <v>27</v>
      </c>
      <c r="C35" s="59">
        <f>ROUND(N!C35/2,2)</f>
        <v>27.65</v>
      </c>
      <c r="D35" s="59">
        <f>ROUND(N!D35/2,2)</f>
        <v>27.65</v>
      </c>
      <c r="E35" s="59">
        <f>ROUND(N!E35/2,2)</f>
        <v>27.65</v>
      </c>
      <c r="G35" s="59">
        <f>ROUND(N!G35/2,2)</f>
        <v>27.65</v>
      </c>
      <c r="H35" s="59">
        <f>ROUND(N!H35/2,2)</f>
        <v>27.65</v>
      </c>
      <c r="I35" s="59">
        <f>ROUND(N!I35/2,2)</f>
        <v>27.65</v>
      </c>
      <c r="J35" s="59">
        <f>ROUND(N!J35/2,2)</f>
        <v>27.65</v>
      </c>
      <c r="K35" s="59">
        <f>ROUND(N!K35/2,2)</f>
        <v>27.65</v>
      </c>
      <c r="L35" s="59">
        <f>ROUND(N!L35/2,2)</f>
        <v>27.65</v>
      </c>
      <c r="N35" s="59">
        <f>ROUND(N!O35/2,2)</f>
        <v>27.65</v>
      </c>
      <c r="P35" s="59">
        <f>ROUND(N!Q35/2,2)</f>
        <v>30.68</v>
      </c>
      <c r="Q35" s="59">
        <f>ROUND(N!R35/2,2)</f>
        <v>30.12</v>
      </c>
      <c r="R35" s="59">
        <f>ROUND(N!S35/2,2)</f>
        <v>30.12</v>
      </c>
      <c r="S35" s="59">
        <f>ROUND(N!T35/2,2)</f>
        <v>30.12</v>
      </c>
      <c r="T35" s="59">
        <f>ROUND(N!U35/2,2)</f>
        <v>30.12</v>
      </c>
      <c r="V35" s="59">
        <f>ROUND(N!X35/2,2)</f>
        <v>30.12</v>
      </c>
    </row>
    <row r="36" spans="1:22" ht="15.75" hidden="1" customHeight="1" outlineLevel="1" thickBot="1">
      <c r="A36" s="54">
        <f t="shared" si="1"/>
        <v>28</v>
      </c>
      <c r="C36" s="59">
        <f>ROUND(N!C36/2,2)</f>
        <v>27.65</v>
      </c>
      <c r="D36" s="59">
        <f>ROUND(N!D36/2,2)</f>
        <v>27.65</v>
      </c>
      <c r="E36" s="59">
        <f>ROUND(N!E36/2,2)</f>
        <v>27.65</v>
      </c>
      <c r="G36" s="59">
        <f>ROUND(N!G36/2,2)</f>
        <v>27.65</v>
      </c>
      <c r="H36" s="59">
        <f>ROUND(N!H36/2,2)</f>
        <v>27.65</v>
      </c>
      <c r="I36" s="59">
        <f>ROUND(N!I36/2,2)</f>
        <v>27.65</v>
      </c>
      <c r="J36" s="59">
        <f>ROUND(N!J36/2,2)</f>
        <v>27.65</v>
      </c>
      <c r="K36" s="59">
        <f>ROUND(N!K36/2,2)</f>
        <v>27.65</v>
      </c>
      <c r="L36" s="59">
        <f>ROUND(N!L36/2,2)</f>
        <v>27.65</v>
      </c>
      <c r="N36" s="59">
        <f>ROUND(N!O36/2,2)</f>
        <v>27.65</v>
      </c>
      <c r="P36" s="59">
        <f>ROUND(N!Q36/2,2)</f>
        <v>30.68</v>
      </c>
      <c r="Q36" s="59">
        <f>ROUND(N!R36/2,2)</f>
        <v>30.12</v>
      </c>
      <c r="R36" s="59">
        <f>ROUND(N!S36/2,2)</f>
        <v>30.12</v>
      </c>
      <c r="S36" s="59">
        <f>ROUND(N!T36/2,2)</f>
        <v>30.12</v>
      </c>
      <c r="T36" s="59">
        <f>ROUND(N!U36/2,2)</f>
        <v>30.12</v>
      </c>
      <c r="V36" s="59">
        <f>ROUND(N!X36/2,2)</f>
        <v>30.12</v>
      </c>
    </row>
    <row r="37" spans="1:22" ht="15.75" hidden="1" customHeight="1" outlineLevel="1" thickBot="1">
      <c r="A37" s="54">
        <f t="shared" si="1"/>
        <v>29</v>
      </c>
      <c r="C37" s="59">
        <f>ROUND(N!C37/2,2)</f>
        <v>27.65</v>
      </c>
      <c r="D37" s="59">
        <f>ROUND(N!D37/2,2)</f>
        <v>27.65</v>
      </c>
      <c r="E37" s="59">
        <f>ROUND(N!E37/2,2)</f>
        <v>27.65</v>
      </c>
      <c r="G37" s="59">
        <f>ROUND(N!G37/2,2)</f>
        <v>27.65</v>
      </c>
      <c r="H37" s="59">
        <f>ROUND(N!H37/2,2)</f>
        <v>27.65</v>
      </c>
      <c r="I37" s="59">
        <f>ROUND(N!I37/2,2)</f>
        <v>27.65</v>
      </c>
      <c r="J37" s="59">
        <f>ROUND(N!J37/2,2)</f>
        <v>27.65</v>
      </c>
      <c r="K37" s="59">
        <f>ROUND(N!K37/2,2)</f>
        <v>27.65</v>
      </c>
      <c r="L37" s="59">
        <f>ROUND(N!L37/2,2)</f>
        <v>27.65</v>
      </c>
      <c r="N37" s="59">
        <f>ROUND(N!O37/2,2)</f>
        <v>27.65</v>
      </c>
      <c r="P37" s="59">
        <f>ROUND(N!Q37/2,2)</f>
        <v>30.68</v>
      </c>
      <c r="Q37" s="59">
        <f>ROUND(N!R37/2,2)</f>
        <v>30.12</v>
      </c>
      <c r="R37" s="59">
        <f>ROUND(N!S37/2,2)</f>
        <v>30.12</v>
      </c>
      <c r="S37" s="59">
        <f>ROUND(N!T37/2,2)</f>
        <v>30.12</v>
      </c>
      <c r="T37" s="59">
        <f>ROUND(N!U37/2,2)</f>
        <v>30.12</v>
      </c>
      <c r="V37" s="59">
        <f>ROUND(N!X37/2,2)</f>
        <v>30.12</v>
      </c>
    </row>
    <row r="38" spans="1:22" ht="15.75" hidden="1" customHeight="1" outlineLevel="1" thickBot="1">
      <c r="A38" s="54">
        <f t="shared" si="1"/>
        <v>30</v>
      </c>
      <c r="C38" s="59">
        <f>ROUND(N!C38/2,2)</f>
        <v>27.65</v>
      </c>
      <c r="D38" s="59">
        <f>ROUND(N!D38/2,2)</f>
        <v>27.65</v>
      </c>
      <c r="E38" s="59">
        <f>ROUND(N!E38/2,2)</f>
        <v>27.65</v>
      </c>
      <c r="G38" s="59">
        <f>ROUND(N!G38/2,2)</f>
        <v>27.65</v>
      </c>
      <c r="H38" s="59">
        <f>ROUND(N!H38/2,2)</f>
        <v>27.65</v>
      </c>
      <c r="I38" s="59">
        <f>ROUND(N!I38/2,2)</f>
        <v>27.65</v>
      </c>
      <c r="J38" s="59">
        <f>ROUND(N!J38/2,2)</f>
        <v>27.65</v>
      </c>
      <c r="K38" s="59">
        <f>ROUND(N!K38/2,2)</f>
        <v>27.65</v>
      </c>
      <c r="L38" s="59">
        <f>ROUND(N!L38/2,2)</f>
        <v>27.65</v>
      </c>
      <c r="N38" s="59">
        <f>ROUND(N!O38/2,2)</f>
        <v>27.65</v>
      </c>
      <c r="P38" s="59">
        <f>ROUND(N!Q38/2,2)</f>
        <v>30.68</v>
      </c>
      <c r="Q38" s="59">
        <f>ROUND(N!R38/2,2)</f>
        <v>30.12</v>
      </c>
      <c r="R38" s="59">
        <f>ROUND(N!S38/2,2)</f>
        <v>30.12</v>
      </c>
      <c r="S38" s="59">
        <f>ROUND(N!T38/2,2)</f>
        <v>30.12</v>
      </c>
      <c r="T38" s="59">
        <f>ROUND(N!U38/2,2)</f>
        <v>30.12</v>
      </c>
      <c r="V38" s="59">
        <f>ROUND(N!X38/2,2)</f>
        <v>30.12</v>
      </c>
    </row>
    <row r="39" spans="1:22" ht="15.75" hidden="1" customHeight="1" outlineLevel="1" thickBot="1">
      <c r="A39" s="54">
        <f t="shared" si="1"/>
        <v>31</v>
      </c>
      <c r="C39" s="59">
        <f>ROUND(N!C39/2,2)</f>
        <v>27.65</v>
      </c>
      <c r="D39" s="59">
        <f>ROUND(N!D39/2,2)</f>
        <v>27.65</v>
      </c>
      <c r="E39" s="59">
        <f>ROUND(N!E39/2,2)</f>
        <v>27.65</v>
      </c>
      <c r="G39" s="59">
        <f>ROUND(N!G39/2,2)</f>
        <v>27.65</v>
      </c>
      <c r="H39" s="59">
        <f>ROUND(N!H39/2,2)</f>
        <v>27.65</v>
      </c>
      <c r="I39" s="59">
        <f>ROUND(N!I39/2,2)</f>
        <v>27.65</v>
      </c>
      <c r="J39" s="59">
        <f>ROUND(N!J39/2,2)</f>
        <v>27.65</v>
      </c>
      <c r="K39" s="59">
        <f>ROUND(N!K39/2,2)</f>
        <v>27.65</v>
      </c>
      <c r="L39" s="59">
        <f>ROUND(N!L39/2,2)</f>
        <v>27.65</v>
      </c>
      <c r="N39" s="59">
        <f>ROUND(N!O39/2,2)</f>
        <v>27.65</v>
      </c>
      <c r="P39" s="59">
        <f>ROUND(N!Q39/2,2)</f>
        <v>30.68</v>
      </c>
      <c r="Q39" s="59">
        <f>ROUND(N!R39/2,2)</f>
        <v>30.12</v>
      </c>
      <c r="R39" s="59">
        <f>ROUND(N!S39/2,2)</f>
        <v>30.12</v>
      </c>
      <c r="S39" s="59">
        <f>ROUND(N!T39/2,2)</f>
        <v>30.12</v>
      </c>
      <c r="T39" s="59">
        <f>ROUND(N!U39/2,2)</f>
        <v>30.12</v>
      </c>
      <c r="V39" s="59">
        <f>ROUND(N!X39/2,2)</f>
        <v>30.12</v>
      </c>
    </row>
    <row r="40" spans="1:22" ht="15.75" hidden="1" customHeight="1" outlineLevel="1" thickBot="1">
      <c r="A40" s="54">
        <f t="shared" si="1"/>
        <v>32</v>
      </c>
      <c r="C40" s="59">
        <f>ROUND(N!C40/2,2)</f>
        <v>27.65</v>
      </c>
      <c r="D40" s="59">
        <f>ROUND(N!D40/2,2)</f>
        <v>27.65</v>
      </c>
      <c r="E40" s="59">
        <f>ROUND(N!E40/2,2)</f>
        <v>27.65</v>
      </c>
      <c r="G40" s="59">
        <f>ROUND(N!G40/2,2)</f>
        <v>27.65</v>
      </c>
      <c r="H40" s="59">
        <f>ROUND(N!H40/2,2)</f>
        <v>27.65</v>
      </c>
      <c r="I40" s="59">
        <f>ROUND(N!I40/2,2)</f>
        <v>27.65</v>
      </c>
      <c r="J40" s="59">
        <f>ROUND(N!J40/2,2)</f>
        <v>27.65</v>
      </c>
      <c r="K40" s="59">
        <f>ROUND(N!K40/2,2)</f>
        <v>27.65</v>
      </c>
      <c r="L40" s="59">
        <f>ROUND(N!L40/2,2)</f>
        <v>27.65</v>
      </c>
      <c r="N40" s="59">
        <f>ROUND(N!O40/2,2)</f>
        <v>27.65</v>
      </c>
      <c r="P40" s="59">
        <f>ROUND(N!Q40/2,2)</f>
        <v>30.68</v>
      </c>
      <c r="Q40" s="59">
        <f>ROUND(N!R40/2,2)</f>
        <v>30.12</v>
      </c>
      <c r="R40" s="59">
        <f>ROUND(N!S40/2,2)</f>
        <v>30.12</v>
      </c>
      <c r="S40" s="59">
        <f>ROUND(N!T40/2,2)</f>
        <v>30.12</v>
      </c>
      <c r="T40" s="59">
        <f>ROUND(N!U40/2,2)</f>
        <v>30.12</v>
      </c>
      <c r="V40" s="59">
        <f>ROUND(N!X40/2,2)</f>
        <v>30.12</v>
      </c>
    </row>
    <row r="41" spans="1:22" ht="15.75" hidden="1" customHeight="1" outlineLevel="1" thickBot="1">
      <c r="A41" s="54">
        <f t="shared" si="1"/>
        <v>33</v>
      </c>
      <c r="C41" s="59">
        <f>ROUND(N!C41/2,2)</f>
        <v>27.65</v>
      </c>
      <c r="D41" s="59">
        <f>ROUND(N!D41/2,2)</f>
        <v>27.65</v>
      </c>
      <c r="E41" s="59">
        <f>ROUND(N!E41/2,2)</f>
        <v>27.65</v>
      </c>
      <c r="G41" s="59">
        <f>ROUND(N!G41/2,2)</f>
        <v>27.65</v>
      </c>
      <c r="H41" s="59">
        <f>ROUND(N!H41/2,2)</f>
        <v>27.65</v>
      </c>
      <c r="I41" s="59">
        <f>ROUND(N!I41/2,2)</f>
        <v>27.65</v>
      </c>
      <c r="J41" s="59">
        <f>ROUND(N!J41/2,2)</f>
        <v>27.65</v>
      </c>
      <c r="K41" s="59">
        <f>ROUND(N!K41/2,2)</f>
        <v>27.65</v>
      </c>
      <c r="L41" s="59">
        <f>ROUND(N!L41/2,2)</f>
        <v>27.65</v>
      </c>
      <c r="N41" s="59">
        <f>ROUND(N!O41/2,2)</f>
        <v>27.65</v>
      </c>
      <c r="P41" s="59">
        <f>ROUND(N!Q41/2,2)</f>
        <v>30.68</v>
      </c>
      <c r="Q41" s="59">
        <f>ROUND(N!R41/2,2)</f>
        <v>30.12</v>
      </c>
      <c r="R41" s="59">
        <f>ROUND(N!S41/2,2)</f>
        <v>30.12</v>
      </c>
      <c r="S41" s="59">
        <f>ROUND(N!T41/2,2)</f>
        <v>30.12</v>
      </c>
      <c r="T41" s="59">
        <f>ROUND(N!U41/2,2)</f>
        <v>30.12</v>
      </c>
      <c r="V41" s="59">
        <f>ROUND(N!X41/2,2)</f>
        <v>30.12</v>
      </c>
    </row>
    <row r="42" spans="1:22" ht="15.75" hidden="1" customHeight="1" outlineLevel="1" thickBot="1">
      <c r="A42" s="54">
        <f t="shared" si="1"/>
        <v>34</v>
      </c>
      <c r="C42" s="59">
        <f>ROUND(N!C42/2,2)</f>
        <v>27.65</v>
      </c>
      <c r="D42" s="59">
        <f>ROUND(N!D42/2,2)</f>
        <v>27.65</v>
      </c>
      <c r="E42" s="59">
        <f>ROUND(N!E42/2,2)</f>
        <v>27.65</v>
      </c>
      <c r="G42" s="59">
        <f>ROUND(N!G42/2,2)</f>
        <v>27.65</v>
      </c>
      <c r="H42" s="59">
        <f>ROUND(N!H42/2,2)</f>
        <v>27.65</v>
      </c>
      <c r="I42" s="59">
        <f>ROUND(N!I42/2,2)</f>
        <v>27.65</v>
      </c>
      <c r="J42" s="59">
        <f>ROUND(N!J42/2,2)</f>
        <v>27.65</v>
      </c>
      <c r="K42" s="59">
        <f>ROUND(N!K42/2,2)</f>
        <v>27.65</v>
      </c>
      <c r="L42" s="59">
        <f>ROUND(N!L42/2,2)</f>
        <v>27.65</v>
      </c>
      <c r="N42" s="59">
        <f>ROUND(N!O42/2,2)</f>
        <v>27.65</v>
      </c>
      <c r="P42" s="59">
        <f>ROUND(N!Q42/2,2)</f>
        <v>30.68</v>
      </c>
      <c r="Q42" s="59">
        <f>ROUND(N!R42/2,2)</f>
        <v>30.12</v>
      </c>
      <c r="R42" s="59">
        <f>ROUND(N!S42/2,2)</f>
        <v>30.12</v>
      </c>
      <c r="S42" s="59">
        <f>ROUND(N!T42/2,2)</f>
        <v>30.12</v>
      </c>
      <c r="T42" s="59">
        <f>ROUND(N!U42/2,2)</f>
        <v>30.12</v>
      </c>
      <c r="V42" s="59">
        <f>ROUND(N!X42/2,2)</f>
        <v>30.12</v>
      </c>
    </row>
    <row r="43" spans="1:22" ht="15.75" hidden="1" customHeight="1" outlineLevel="1" thickBot="1">
      <c r="A43" s="54">
        <f t="shared" si="1"/>
        <v>35</v>
      </c>
      <c r="C43" s="59">
        <f>ROUND(N!C43/2,2)</f>
        <v>27.65</v>
      </c>
      <c r="D43" s="59">
        <f>ROUND(N!D43/2,2)</f>
        <v>27.65</v>
      </c>
      <c r="E43" s="59">
        <f>ROUND(N!E43/2,2)</f>
        <v>27.65</v>
      </c>
      <c r="G43" s="59">
        <f>ROUND(N!G43/2,2)</f>
        <v>27.65</v>
      </c>
      <c r="H43" s="59">
        <f>ROUND(N!H43/2,2)</f>
        <v>27.65</v>
      </c>
      <c r="I43" s="59">
        <f>ROUND(N!I43/2,2)</f>
        <v>27.65</v>
      </c>
      <c r="J43" s="59">
        <f>ROUND(N!J43/2,2)</f>
        <v>27.65</v>
      </c>
      <c r="K43" s="59">
        <f>ROUND(N!K43/2,2)</f>
        <v>27.65</v>
      </c>
      <c r="L43" s="59">
        <f>ROUND(N!L43/2,2)</f>
        <v>27.65</v>
      </c>
      <c r="N43" s="59">
        <f>ROUND(N!O43/2,2)</f>
        <v>27.65</v>
      </c>
      <c r="P43" s="59">
        <f>ROUND(N!Q43/2,2)</f>
        <v>30.68</v>
      </c>
      <c r="Q43" s="59">
        <f>ROUND(N!R43/2,2)</f>
        <v>30.12</v>
      </c>
      <c r="R43" s="59">
        <f>ROUND(N!S43/2,2)</f>
        <v>30.12</v>
      </c>
      <c r="S43" s="59">
        <f>ROUND(N!T43/2,2)</f>
        <v>30.12</v>
      </c>
      <c r="T43" s="59">
        <f>ROUND(N!U43/2,2)</f>
        <v>30.12</v>
      </c>
      <c r="V43" s="59">
        <f>ROUND(N!X43/2,2)</f>
        <v>30.12</v>
      </c>
    </row>
    <row r="44" spans="1:22" ht="15" hidden="1" outlineLevel="1" thickBot="1">
      <c r="A44" s="54">
        <f t="shared" si="1"/>
        <v>36</v>
      </c>
      <c r="C44" s="59">
        <f>ROUND(N!C44/2,2)</f>
        <v>27.65</v>
      </c>
      <c r="D44" s="59">
        <f>ROUND(N!D44/2,2)</f>
        <v>27.65</v>
      </c>
      <c r="E44" s="59">
        <f>ROUND(N!E44/2,2)</f>
        <v>27.65</v>
      </c>
      <c r="G44" s="59">
        <f>ROUND(N!G44/2,2)</f>
        <v>27.65</v>
      </c>
      <c r="H44" s="59">
        <f>ROUND(N!H44/2,2)</f>
        <v>27.65</v>
      </c>
      <c r="I44" s="59">
        <f>ROUND(N!I44/2,2)</f>
        <v>27.65</v>
      </c>
      <c r="J44" s="59">
        <f>ROUND(N!J44/2,2)</f>
        <v>27.65</v>
      </c>
      <c r="K44" s="59">
        <f>ROUND(N!K44/2,2)</f>
        <v>27.65</v>
      </c>
      <c r="L44" s="59">
        <f>ROUND(N!L44/2,2)</f>
        <v>27.65</v>
      </c>
      <c r="N44" s="59">
        <f>ROUND(N!O44/2,2)</f>
        <v>27.65</v>
      </c>
      <c r="P44" s="59">
        <f>ROUND(N!Q44/2,2)</f>
        <v>30.68</v>
      </c>
      <c r="Q44" s="59">
        <f>ROUND(N!R44/2,2)</f>
        <v>30.12</v>
      </c>
      <c r="R44" s="59">
        <f>ROUND(N!S44/2,2)</f>
        <v>30.12</v>
      </c>
      <c r="S44" s="59">
        <f>ROUND(N!T44/2,2)</f>
        <v>30.12</v>
      </c>
      <c r="T44" s="59">
        <f>ROUND(N!U44/2,2)</f>
        <v>30.12</v>
      </c>
      <c r="V44" s="59">
        <f>ROUND(N!X44/2,2)</f>
        <v>30.12</v>
      </c>
    </row>
    <row r="45" spans="1:22" ht="15" hidden="1" outlineLevel="1" thickBot="1">
      <c r="A45" s="54">
        <f t="shared" si="1"/>
        <v>37</v>
      </c>
      <c r="C45" s="59">
        <f>ROUND(N!C45/2,2)</f>
        <v>27.65</v>
      </c>
      <c r="D45" s="59">
        <f>ROUND(N!D45/2,2)</f>
        <v>27.65</v>
      </c>
      <c r="E45" s="59">
        <f>ROUND(N!E45/2,2)</f>
        <v>27.65</v>
      </c>
      <c r="G45" s="59">
        <f>ROUND(N!G45/2,2)</f>
        <v>27.65</v>
      </c>
      <c r="H45" s="59">
        <f>ROUND(N!H45/2,2)</f>
        <v>27.65</v>
      </c>
      <c r="I45" s="59">
        <f>ROUND(N!I45/2,2)</f>
        <v>27.65</v>
      </c>
      <c r="J45" s="59">
        <f>ROUND(N!J45/2,2)</f>
        <v>27.65</v>
      </c>
      <c r="K45" s="59">
        <f>ROUND(N!K45/2,2)</f>
        <v>27.65</v>
      </c>
      <c r="L45" s="59">
        <f>ROUND(N!L45/2,2)</f>
        <v>27.65</v>
      </c>
      <c r="N45" s="59">
        <f>ROUND(N!O45/2,2)</f>
        <v>27.65</v>
      </c>
      <c r="P45" s="59">
        <f>ROUND(N!Q45/2,2)</f>
        <v>30.68</v>
      </c>
      <c r="Q45" s="59">
        <f>ROUND(N!R45/2,2)</f>
        <v>30.12</v>
      </c>
      <c r="R45" s="59">
        <f>ROUND(N!S45/2,2)</f>
        <v>30.12</v>
      </c>
      <c r="S45" s="59">
        <f>ROUND(N!T45/2,2)</f>
        <v>30.12</v>
      </c>
      <c r="T45" s="59">
        <f>ROUND(N!U45/2,2)</f>
        <v>30.12</v>
      </c>
      <c r="V45" s="59">
        <f>ROUND(N!X45/2,2)</f>
        <v>30.12</v>
      </c>
    </row>
    <row r="46" spans="1:22" ht="15" hidden="1" outlineLevel="1" thickBot="1">
      <c r="A46" s="54">
        <f t="shared" si="1"/>
        <v>38</v>
      </c>
      <c r="C46" s="59">
        <f>ROUND(N!C46/2,2)</f>
        <v>27.65</v>
      </c>
      <c r="D46" s="59">
        <f>ROUND(N!D46/2,2)</f>
        <v>27.65</v>
      </c>
      <c r="E46" s="59">
        <f>ROUND(N!E46/2,2)</f>
        <v>27.65</v>
      </c>
      <c r="G46" s="59">
        <f>ROUND(N!G46/2,2)</f>
        <v>27.65</v>
      </c>
      <c r="H46" s="59">
        <f>ROUND(N!H46/2,2)</f>
        <v>27.65</v>
      </c>
      <c r="I46" s="59">
        <f>ROUND(N!I46/2,2)</f>
        <v>27.65</v>
      </c>
      <c r="J46" s="59">
        <f>ROUND(N!J46/2,2)</f>
        <v>27.65</v>
      </c>
      <c r="K46" s="59">
        <f>ROUND(N!K46/2,2)</f>
        <v>27.65</v>
      </c>
      <c r="L46" s="59">
        <f>ROUND(N!L46/2,2)</f>
        <v>27.65</v>
      </c>
      <c r="N46" s="59">
        <f>ROUND(N!O46/2,2)</f>
        <v>27.65</v>
      </c>
      <c r="P46" s="59">
        <f>ROUND(N!Q46/2,2)</f>
        <v>30.68</v>
      </c>
      <c r="Q46" s="59">
        <f>ROUND(N!R46/2,2)</f>
        <v>30.12</v>
      </c>
      <c r="R46" s="59">
        <f>ROUND(N!S46/2,2)</f>
        <v>30.12</v>
      </c>
      <c r="S46" s="59">
        <f>ROUND(N!T46/2,2)</f>
        <v>30.12</v>
      </c>
      <c r="T46" s="59">
        <f>ROUND(N!U46/2,2)</f>
        <v>30.12</v>
      </c>
      <c r="V46" s="59">
        <f>ROUND(N!X46/2,2)</f>
        <v>30.12</v>
      </c>
    </row>
    <row r="47" spans="1:22" ht="15" hidden="1" outlineLevel="1" thickBot="1">
      <c r="A47" s="54">
        <f t="shared" si="1"/>
        <v>39</v>
      </c>
      <c r="C47" s="59">
        <f>ROUND(N!C47/2,2)</f>
        <v>27.65</v>
      </c>
      <c r="D47" s="59">
        <f>ROUND(N!D47/2,2)</f>
        <v>27.65</v>
      </c>
      <c r="E47" s="59">
        <f>ROUND(N!E47/2,2)</f>
        <v>27.65</v>
      </c>
      <c r="G47" s="59">
        <f>ROUND(N!G47/2,2)</f>
        <v>27.65</v>
      </c>
      <c r="H47" s="59">
        <f>ROUND(N!H47/2,2)</f>
        <v>27.65</v>
      </c>
      <c r="I47" s="59">
        <f>ROUND(N!I47/2,2)</f>
        <v>27.65</v>
      </c>
      <c r="J47" s="59">
        <f>ROUND(N!J47/2,2)</f>
        <v>27.65</v>
      </c>
      <c r="K47" s="59">
        <f>ROUND(N!K47/2,2)</f>
        <v>27.65</v>
      </c>
      <c r="L47" s="59">
        <f>ROUND(N!L47/2,2)</f>
        <v>27.65</v>
      </c>
      <c r="N47" s="59">
        <f>ROUND(N!O47/2,2)</f>
        <v>27.65</v>
      </c>
      <c r="P47" s="59">
        <f>ROUND(N!Q47/2,2)</f>
        <v>30.68</v>
      </c>
      <c r="Q47" s="59">
        <f>ROUND(N!R47/2,2)</f>
        <v>30.12</v>
      </c>
      <c r="R47" s="59">
        <f>ROUND(N!S47/2,2)</f>
        <v>30.12</v>
      </c>
      <c r="S47" s="59">
        <f>ROUND(N!T47/2,2)</f>
        <v>30.12</v>
      </c>
      <c r="T47" s="59">
        <f>ROUND(N!U47/2,2)</f>
        <v>30.12</v>
      </c>
      <c r="V47" s="59">
        <f>ROUND(N!X47/2,2)</f>
        <v>30.12</v>
      </c>
    </row>
    <row r="48" spans="1:22" ht="15" hidden="1" outlineLevel="1" thickBot="1">
      <c r="A48" s="54">
        <f t="shared" si="1"/>
        <v>40</v>
      </c>
      <c r="C48" s="59">
        <f>ROUND(N!C48/2,2)</f>
        <v>27.65</v>
      </c>
      <c r="D48" s="59">
        <f>ROUND(N!D48/2,2)</f>
        <v>27.65</v>
      </c>
      <c r="E48" s="59">
        <f>ROUND(N!E48/2,2)</f>
        <v>27.65</v>
      </c>
      <c r="G48" s="59">
        <f>ROUND(N!G48/2,2)</f>
        <v>27.65</v>
      </c>
      <c r="H48" s="59">
        <f>ROUND(N!H48/2,2)</f>
        <v>27.65</v>
      </c>
      <c r="I48" s="59">
        <f>ROUND(N!I48/2,2)</f>
        <v>27.65</v>
      </c>
      <c r="J48" s="59">
        <f>ROUND(N!J48/2,2)</f>
        <v>27.65</v>
      </c>
      <c r="K48" s="59">
        <f>ROUND(N!K48/2,2)</f>
        <v>27.65</v>
      </c>
      <c r="L48" s="59">
        <f>ROUND(N!L48/2,2)</f>
        <v>27.65</v>
      </c>
      <c r="N48" s="59">
        <f>ROUND(N!O48/2,2)</f>
        <v>27.65</v>
      </c>
      <c r="P48" s="59">
        <f>ROUND(N!Q48/2,2)</f>
        <v>30.68</v>
      </c>
      <c r="Q48" s="59">
        <f>ROUND(N!R48/2,2)</f>
        <v>30.12</v>
      </c>
      <c r="R48" s="59">
        <f>ROUND(N!S48/2,2)</f>
        <v>30.12</v>
      </c>
      <c r="S48" s="59">
        <f>ROUND(N!T48/2,2)</f>
        <v>30.12</v>
      </c>
      <c r="T48" s="59">
        <f>ROUND(N!U48/2,2)</f>
        <v>30.12</v>
      </c>
      <c r="V48" s="59">
        <f>ROUND(N!X48/2,2)</f>
        <v>30.12</v>
      </c>
    </row>
    <row r="49" spans="1:22" ht="15" hidden="1" outlineLevel="1" thickBot="1">
      <c r="A49" s="54">
        <f t="shared" si="1"/>
        <v>41</v>
      </c>
      <c r="C49" s="59">
        <f>ROUND(N!C49/2,2)</f>
        <v>27.65</v>
      </c>
      <c r="D49" s="59">
        <f>ROUND(N!D49/2,2)</f>
        <v>27.65</v>
      </c>
      <c r="E49" s="59">
        <f>ROUND(N!E49/2,2)</f>
        <v>27.65</v>
      </c>
      <c r="G49" s="59">
        <f>ROUND(N!G49/2,2)</f>
        <v>27.65</v>
      </c>
      <c r="H49" s="59">
        <f>ROUND(N!H49/2,2)</f>
        <v>27.65</v>
      </c>
      <c r="I49" s="59">
        <f>ROUND(N!I49/2,2)</f>
        <v>27.65</v>
      </c>
      <c r="J49" s="59">
        <f>ROUND(N!J49/2,2)</f>
        <v>27.65</v>
      </c>
      <c r="K49" s="59">
        <f>ROUND(N!K49/2,2)</f>
        <v>27.65</v>
      </c>
      <c r="L49" s="59">
        <f>ROUND(N!L49/2,2)</f>
        <v>27.65</v>
      </c>
      <c r="N49" s="59">
        <f>ROUND(N!O49/2,2)</f>
        <v>27.65</v>
      </c>
      <c r="P49" s="59">
        <f>ROUND(N!Q49/2,2)</f>
        <v>30.68</v>
      </c>
      <c r="Q49" s="59">
        <f>ROUND(N!R49/2,2)</f>
        <v>30.12</v>
      </c>
      <c r="R49" s="59">
        <f>ROUND(N!S49/2,2)</f>
        <v>30.12</v>
      </c>
      <c r="S49" s="59">
        <f>ROUND(N!T49/2,2)</f>
        <v>30.12</v>
      </c>
      <c r="T49" s="59">
        <f>ROUND(N!U49/2,2)</f>
        <v>30.12</v>
      </c>
      <c r="V49" s="59">
        <f>ROUND(N!X49/2,2)</f>
        <v>30.12</v>
      </c>
    </row>
    <row r="50" spans="1:22" ht="15" collapsed="1" thickBot="1">
      <c r="A50" s="54">
        <f t="shared" si="1"/>
        <v>42</v>
      </c>
      <c r="C50" s="59">
        <f>ROUND(N!C50/2,2)</f>
        <v>27.65</v>
      </c>
      <c r="D50" s="59">
        <f>ROUND(N!D50/2,2)</f>
        <v>27.65</v>
      </c>
      <c r="E50" s="59">
        <f>ROUND(N!E50/2,2)</f>
        <v>27.65</v>
      </c>
      <c r="G50" s="59">
        <f>ROUND(N!G50/2,2)</f>
        <v>27.65</v>
      </c>
      <c r="H50" s="59">
        <f>ROUND(N!H50/2,2)</f>
        <v>27.65</v>
      </c>
      <c r="I50" s="59">
        <f>ROUND(N!I50/2,2)</f>
        <v>27.65</v>
      </c>
      <c r="J50" s="59">
        <f>ROUND(N!J50/2,2)</f>
        <v>27.65</v>
      </c>
      <c r="K50" s="59">
        <f>ROUND(N!K50/2,2)</f>
        <v>27.65</v>
      </c>
      <c r="L50" s="59">
        <f>ROUND(N!L50/2,2)</f>
        <v>27.65</v>
      </c>
      <c r="N50" s="59">
        <f>ROUND(N!O50/2,2)</f>
        <v>27.65</v>
      </c>
      <c r="P50" s="59">
        <f>ROUND(N!Q50/2,2)</f>
        <v>30.68</v>
      </c>
      <c r="Q50" s="59">
        <f>ROUND(N!R50/2,2)</f>
        <v>30.12</v>
      </c>
      <c r="R50" s="59">
        <f>ROUND(N!S50/2,2)</f>
        <v>30.12</v>
      </c>
      <c r="S50" s="59">
        <f>ROUND(N!T50/2,2)</f>
        <v>30.12</v>
      </c>
      <c r="T50" s="59">
        <f>ROUND(N!U50/2,2)</f>
        <v>30.12</v>
      </c>
      <c r="V50" s="59">
        <f>ROUND(N!X50/2,2)</f>
        <v>30.12</v>
      </c>
    </row>
    <row r="51" spans="1:22" ht="15" thickBot="1">
      <c r="A51" s="54">
        <f t="shared" si="1"/>
        <v>43</v>
      </c>
      <c r="C51" s="59">
        <f>ROUND(N!C51/2,2)</f>
        <v>27.65</v>
      </c>
      <c r="D51" s="59">
        <f>ROUND(N!D51/2,2)</f>
        <v>27.65</v>
      </c>
      <c r="E51" s="59">
        <f>ROUND(N!E51/2,2)</f>
        <v>27.65</v>
      </c>
      <c r="G51" s="59">
        <f>ROUND(N!G51/2,2)</f>
        <v>27.65</v>
      </c>
      <c r="H51" s="59">
        <f>ROUND(N!H51/2,2)</f>
        <v>27.65</v>
      </c>
      <c r="I51" s="59">
        <f>ROUND(N!I51/2,2)</f>
        <v>27.65</v>
      </c>
      <c r="J51" s="59">
        <f>ROUND(N!J51/2,2)</f>
        <v>27.65</v>
      </c>
      <c r="K51" s="59">
        <f>ROUND(N!K51/2,2)</f>
        <v>27.65</v>
      </c>
      <c r="L51" s="59">
        <f>ROUND(N!L51/2,2)</f>
        <v>27.65</v>
      </c>
      <c r="N51" s="59">
        <f>ROUND(N!O51/2,2)</f>
        <v>27.65</v>
      </c>
      <c r="P51" s="59">
        <f>ROUND(N!Q51/2,2)</f>
        <v>30.68</v>
      </c>
      <c r="Q51" s="59">
        <f>ROUND(N!R51/2,2)</f>
        <v>30.12</v>
      </c>
      <c r="R51" s="59">
        <f>ROUND(N!S51/2,2)</f>
        <v>30.12</v>
      </c>
      <c r="S51" s="59">
        <f>ROUND(N!T51/2,2)</f>
        <v>30.12</v>
      </c>
      <c r="T51" s="59">
        <f>ROUND(N!U51/2,2)</f>
        <v>30.12</v>
      </c>
      <c r="V51" s="59">
        <f>ROUND(N!X51/2,2)</f>
        <v>30.12</v>
      </c>
    </row>
    <row r="52" spans="1:22" ht="15" thickBot="1">
      <c r="A52" s="54">
        <f t="shared" si="1"/>
        <v>44</v>
      </c>
      <c r="C52" s="59">
        <f>ROUND(N!C52/2,2)</f>
        <v>27.65</v>
      </c>
      <c r="D52" s="59">
        <f>ROUND(N!D52/2,2)</f>
        <v>27.65</v>
      </c>
      <c r="E52" s="59">
        <f>ROUND(N!E52/2,2)</f>
        <v>27.65</v>
      </c>
      <c r="G52" s="59">
        <f>ROUND(N!G52/2,2)</f>
        <v>27.65</v>
      </c>
      <c r="H52" s="59">
        <f>ROUND(N!H52/2,2)</f>
        <v>27.65</v>
      </c>
      <c r="I52" s="59">
        <f>ROUND(N!I52/2,2)</f>
        <v>27.65</v>
      </c>
      <c r="J52" s="59">
        <f>ROUND(N!J52/2,2)</f>
        <v>27.65</v>
      </c>
      <c r="K52" s="59">
        <f>ROUND(N!K52/2,2)</f>
        <v>27.65</v>
      </c>
      <c r="L52" s="59">
        <f>ROUND(N!L52/2,2)</f>
        <v>27.65</v>
      </c>
      <c r="N52" s="59">
        <f>ROUND(N!O52/2,2)</f>
        <v>27.65</v>
      </c>
      <c r="P52" s="59">
        <f>ROUND(N!Q52/2,2)</f>
        <v>30.68</v>
      </c>
      <c r="Q52" s="59">
        <f>ROUND(N!R52/2,2)</f>
        <v>30.12</v>
      </c>
      <c r="R52" s="59">
        <f>ROUND(N!S52/2,2)</f>
        <v>30.12</v>
      </c>
      <c r="S52" s="59">
        <f>ROUND(N!T52/2,2)</f>
        <v>30.12</v>
      </c>
      <c r="T52" s="59">
        <f>ROUND(N!U52/2,2)</f>
        <v>30.12</v>
      </c>
      <c r="V52" s="59">
        <f>ROUND(N!X52/2,2)</f>
        <v>30.12</v>
      </c>
    </row>
    <row r="53" spans="1:22" ht="15" thickBot="1">
      <c r="A53" s="54">
        <f t="shared" si="1"/>
        <v>45</v>
      </c>
      <c r="C53" s="59">
        <f>ROUND(N!C53/2,2)</f>
        <v>27.84</v>
      </c>
      <c r="D53" s="59">
        <f>ROUND(N!D53/2,2)</f>
        <v>27.65</v>
      </c>
      <c r="E53" s="59">
        <f>ROUND(N!E53/2,2)</f>
        <v>27.65</v>
      </c>
      <c r="G53" s="59">
        <f>ROUND(N!G53/2,2)</f>
        <v>27.65</v>
      </c>
      <c r="H53" s="59">
        <f>ROUND(N!H53/2,2)</f>
        <v>27.65</v>
      </c>
      <c r="I53" s="59">
        <f>ROUND(N!I53/2,2)</f>
        <v>27.65</v>
      </c>
      <c r="J53" s="59">
        <f>ROUND(N!J53/2,2)</f>
        <v>27.65</v>
      </c>
      <c r="K53" s="59">
        <f>ROUND(N!K53/2,2)</f>
        <v>27.65</v>
      </c>
      <c r="L53" s="59">
        <f>ROUND(N!L53/2,2)</f>
        <v>27.65</v>
      </c>
      <c r="N53" s="59">
        <f>ROUND(N!O53/2,2)</f>
        <v>27.65</v>
      </c>
      <c r="P53" s="59">
        <f>ROUND(N!Q53/2,2)</f>
        <v>30.68</v>
      </c>
      <c r="Q53" s="59">
        <f>ROUND(N!R53/2,2)</f>
        <v>30.12</v>
      </c>
      <c r="R53" s="59">
        <f>ROUND(N!S53/2,2)</f>
        <v>30.12</v>
      </c>
      <c r="S53" s="59">
        <f>ROUND(N!T53/2,2)</f>
        <v>30.12</v>
      </c>
      <c r="T53" s="59">
        <f>ROUND(N!U53/2,2)</f>
        <v>30.12</v>
      </c>
      <c r="V53" s="59">
        <f>ROUND(N!X53/2,2)</f>
        <v>30.12</v>
      </c>
    </row>
    <row r="54" spans="1:22" ht="15" thickBot="1">
      <c r="A54" s="54">
        <f t="shared" si="1"/>
        <v>46</v>
      </c>
      <c r="C54" s="59">
        <f>ROUND(N!C54/2,2)</f>
        <v>28.33</v>
      </c>
      <c r="D54" s="59">
        <f>ROUND(N!D54/2,2)</f>
        <v>27.65</v>
      </c>
      <c r="E54" s="59">
        <f>ROUND(N!E54/2,2)</f>
        <v>27.65</v>
      </c>
      <c r="G54" s="59">
        <f>ROUND(N!G54/2,2)</f>
        <v>27.65</v>
      </c>
      <c r="H54" s="59">
        <f>ROUND(N!H54/2,2)</f>
        <v>27.65</v>
      </c>
      <c r="I54" s="59">
        <f>ROUND(N!I54/2,2)</f>
        <v>27.65</v>
      </c>
      <c r="J54" s="59">
        <f>ROUND(N!J54/2,2)</f>
        <v>27.65</v>
      </c>
      <c r="K54" s="59">
        <f>ROUND(N!K54/2,2)</f>
        <v>27.65</v>
      </c>
      <c r="L54" s="59">
        <f>ROUND(N!L54/2,2)</f>
        <v>27.65</v>
      </c>
      <c r="N54" s="59">
        <f>ROUND(N!O54/2,2)</f>
        <v>27.65</v>
      </c>
      <c r="P54" s="59">
        <f>ROUND(N!Q54/2,2)</f>
        <v>30.68</v>
      </c>
      <c r="Q54" s="59">
        <f>ROUND(N!R54/2,2)</f>
        <v>30.12</v>
      </c>
      <c r="R54" s="59">
        <f>ROUND(N!S54/2,2)</f>
        <v>30.12</v>
      </c>
      <c r="S54" s="59">
        <f>ROUND(N!T54/2,2)</f>
        <v>30.12</v>
      </c>
      <c r="T54" s="59">
        <f>ROUND(N!U54/2,2)</f>
        <v>30.12</v>
      </c>
      <c r="V54" s="59">
        <f>ROUND(N!X54/2,2)</f>
        <v>30.12</v>
      </c>
    </row>
    <row r="55" spans="1:22" ht="15" thickBot="1">
      <c r="A55" s="54">
        <f t="shared" si="1"/>
        <v>47</v>
      </c>
      <c r="C55" s="59">
        <f>ROUND(N!C55/2,2)</f>
        <v>28.82</v>
      </c>
      <c r="D55" s="59">
        <f>ROUND(N!D55/2,2)</f>
        <v>27.65</v>
      </c>
      <c r="E55" s="59">
        <f>ROUND(N!E55/2,2)</f>
        <v>27.65</v>
      </c>
      <c r="G55" s="59">
        <f>ROUND(N!G55/2,2)</f>
        <v>27.65</v>
      </c>
      <c r="H55" s="59">
        <f>ROUND(N!H55/2,2)</f>
        <v>27.65</v>
      </c>
      <c r="I55" s="59">
        <f>ROUND(N!I55/2,2)</f>
        <v>27.65</v>
      </c>
      <c r="J55" s="59">
        <f>ROUND(N!J55/2,2)</f>
        <v>27.65</v>
      </c>
      <c r="K55" s="59">
        <f>ROUND(N!K55/2,2)</f>
        <v>27.65</v>
      </c>
      <c r="L55" s="59">
        <f>ROUND(N!L55/2,2)</f>
        <v>27.65</v>
      </c>
      <c r="N55" s="59">
        <f>ROUND(N!O55/2,2)</f>
        <v>27.65</v>
      </c>
      <c r="P55" s="59">
        <f>ROUND(N!Q55/2,2)</f>
        <v>30.68</v>
      </c>
      <c r="Q55" s="59">
        <f>ROUND(N!R55/2,2)</f>
        <v>30.12</v>
      </c>
      <c r="R55" s="59">
        <f>ROUND(N!S55/2,2)</f>
        <v>30.12</v>
      </c>
      <c r="S55" s="59">
        <f>ROUND(N!T55/2,2)</f>
        <v>30.12</v>
      </c>
      <c r="T55" s="59">
        <f>ROUND(N!U55/2,2)</f>
        <v>30.12</v>
      </c>
      <c r="V55" s="59">
        <f>ROUND(N!X55/2,2)</f>
        <v>30.12</v>
      </c>
    </row>
    <row r="56" spans="1:22" ht="15" thickBot="1">
      <c r="A56" s="54">
        <f t="shared" si="1"/>
        <v>48</v>
      </c>
      <c r="C56" s="59">
        <f>ROUND(N!C56/2,2)</f>
        <v>29.31</v>
      </c>
      <c r="D56" s="59">
        <f>ROUND(N!D56/2,2)</f>
        <v>27.65</v>
      </c>
      <c r="E56" s="59">
        <f>ROUND(N!E56/2,2)</f>
        <v>27.65</v>
      </c>
      <c r="G56" s="59">
        <f>ROUND(N!G56/2,2)</f>
        <v>27.65</v>
      </c>
      <c r="H56" s="59">
        <f>ROUND(N!H56/2,2)</f>
        <v>27.65</v>
      </c>
      <c r="I56" s="59">
        <f>ROUND(N!I56/2,2)</f>
        <v>27.65</v>
      </c>
      <c r="J56" s="59">
        <f>ROUND(N!J56/2,2)</f>
        <v>27.65</v>
      </c>
      <c r="K56" s="59">
        <f>ROUND(N!K56/2,2)</f>
        <v>27.65</v>
      </c>
      <c r="L56" s="59">
        <f>ROUND(N!L56/2,2)</f>
        <v>27.65</v>
      </c>
      <c r="N56" s="59">
        <f>ROUND(N!O56/2,2)</f>
        <v>27.65</v>
      </c>
      <c r="P56" s="59">
        <f>ROUND(N!Q56/2,2)</f>
        <v>30.68</v>
      </c>
      <c r="Q56" s="59">
        <f>ROUND(N!R56/2,2)</f>
        <v>30.12</v>
      </c>
      <c r="R56" s="59">
        <f>ROUND(N!S56/2,2)</f>
        <v>30.12</v>
      </c>
      <c r="S56" s="59">
        <f>ROUND(N!T56/2,2)</f>
        <v>30.12</v>
      </c>
      <c r="T56" s="59">
        <f>ROUND(N!U56/2,2)</f>
        <v>30.12</v>
      </c>
      <c r="V56" s="59">
        <f>ROUND(N!X56/2,2)</f>
        <v>30.12</v>
      </c>
    </row>
    <row r="57" spans="1:22" ht="15" thickBot="1">
      <c r="A57" s="54">
        <f t="shared" si="1"/>
        <v>49</v>
      </c>
      <c r="C57" s="59">
        <f>ROUND(N!C57/2,2)</f>
        <v>29.79</v>
      </c>
      <c r="D57" s="59">
        <f>ROUND(N!D57/2,2)</f>
        <v>27.65</v>
      </c>
      <c r="E57" s="59">
        <f>ROUND(N!E57/2,2)</f>
        <v>27.65</v>
      </c>
      <c r="G57" s="59">
        <f>ROUND(N!G57/2,2)</f>
        <v>27.65</v>
      </c>
      <c r="H57" s="59">
        <f>ROUND(N!H57/2,2)</f>
        <v>27.65</v>
      </c>
      <c r="I57" s="59">
        <f>ROUND(N!I57/2,2)</f>
        <v>27.65</v>
      </c>
      <c r="J57" s="59">
        <f>ROUND(N!J57/2,2)</f>
        <v>27.65</v>
      </c>
      <c r="K57" s="59">
        <f>ROUND(N!K57/2,2)</f>
        <v>27.65</v>
      </c>
      <c r="L57" s="59">
        <f>ROUND(N!L57/2,2)</f>
        <v>27.65</v>
      </c>
      <c r="N57" s="59">
        <f>ROUND(N!O57/2,2)</f>
        <v>27.65</v>
      </c>
      <c r="P57" s="59">
        <f>ROUND(N!Q57/2,2)</f>
        <v>30.68</v>
      </c>
      <c r="Q57" s="59">
        <f>ROUND(N!R57/2,2)</f>
        <v>30.12</v>
      </c>
      <c r="R57" s="59">
        <f>ROUND(N!S57/2,2)</f>
        <v>30.12</v>
      </c>
      <c r="S57" s="59">
        <f>ROUND(N!T57/2,2)</f>
        <v>30.12</v>
      </c>
      <c r="T57" s="59">
        <f>ROUND(N!U57/2,2)</f>
        <v>30.12</v>
      </c>
      <c r="V57" s="59">
        <f>ROUND(N!X57/2,2)</f>
        <v>30.12</v>
      </c>
    </row>
    <row r="58" spans="1:22" ht="15" thickBot="1">
      <c r="A58" s="54">
        <f t="shared" si="1"/>
        <v>50</v>
      </c>
      <c r="C58" s="59">
        <f>ROUND(N!C58/2,2)</f>
        <v>30.28</v>
      </c>
      <c r="D58" s="59">
        <f>ROUND(N!D58/2,2)</f>
        <v>27.95</v>
      </c>
      <c r="E58" s="59">
        <f>ROUND(N!E58/2,2)</f>
        <v>27.95</v>
      </c>
      <c r="G58" s="59">
        <f>ROUND(N!G58/2,2)</f>
        <v>27.95</v>
      </c>
      <c r="H58" s="59">
        <f>ROUND(N!H58/2,2)</f>
        <v>27.65</v>
      </c>
      <c r="I58" s="59">
        <f>ROUND(N!I58/2,2)</f>
        <v>27.65</v>
      </c>
      <c r="J58" s="59">
        <f>ROUND(N!J58/2,2)</f>
        <v>27.65</v>
      </c>
      <c r="K58" s="59">
        <f>ROUND(N!K58/2,2)</f>
        <v>27.65</v>
      </c>
      <c r="L58" s="59">
        <f>ROUND(N!L58/2,2)</f>
        <v>27.65</v>
      </c>
      <c r="N58" s="59">
        <f>ROUND(N!O58/2,2)</f>
        <v>27.65</v>
      </c>
      <c r="P58" s="59">
        <f>ROUND(N!Q58/2,2)</f>
        <v>30.68</v>
      </c>
      <c r="Q58" s="59">
        <f>ROUND(N!R58/2,2)</f>
        <v>30.12</v>
      </c>
      <c r="R58" s="59">
        <f>ROUND(N!S58/2,2)</f>
        <v>30.12</v>
      </c>
      <c r="S58" s="59">
        <f>ROUND(N!T58/2,2)</f>
        <v>30.12</v>
      </c>
      <c r="T58" s="59">
        <f>ROUND(N!U58/2,2)</f>
        <v>30.12</v>
      </c>
      <c r="V58" s="59">
        <f>ROUND(N!X58/2,2)</f>
        <v>30.12</v>
      </c>
    </row>
    <row r="59" spans="1:22" ht="15" thickBot="1">
      <c r="A59" s="54">
        <f t="shared" si="1"/>
        <v>51</v>
      </c>
      <c r="C59" s="59">
        <f>ROUND(N!C59/2,2)</f>
        <v>30.77</v>
      </c>
      <c r="D59" s="59">
        <f>ROUND(N!D59/2,2)</f>
        <v>28.4</v>
      </c>
      <c r="E59" s="59">
        <f>ROUND(N!E59/2,2)</f>
        <v>28.4</v>
      </c>
      <c r="G59" s="59">
        <f>ROUND(N!G59/2,2)</f>
        <v>28.4</v>
      </c>
      <c r="H59" s="59">
        <f>ROUND(N!H59/2,2)</f>
        <v>27.65</v>
      </c>
      <c r="I59" s="59">
        <f>ROUND(N!I59/2,2)</f>
        <v>27.65</v>
      </c>
      <c r="J59" s="59">
        <f>ROUND(N!J59/2,2)</f>
        <v>27.65</v>
      </c>
      <c r="K59" s="59">
        <f>ROUND(N!K59/2,2)</f>
        <v>27.65</v>
      </c>
      <c r="L59" s="59">
        <f>ROUND(N!L59/2,2)</f>
        <v>27.65</v>
      </c>
      <c r="N59" s="59">
        <f>ROUND(N!O59/2,2)</f>
        <v>27.65</v>
      </c>
      <c r="P59" s="59">
        <f>ROUND(N!Q59/2,2)</f>
        <v>30.68</v>
      </c>
      <c r="Q59" s="59">
        <f>ROUND(N!R59/2,2)</f>
        <v>30.12</v>
      </c>
      <c r="R59" s="59">
        <f>ROUND(N!S59/2,2)</f>
        <v>30.12</v>
      </c>
      <c r="S59" s="59">
        <f>ROUND(N!T59/2,2)</f>
        <v>30.12</v>
      </c>
      <c r="T59" s="59">
        <f>ROUND(N!U59/2,2)</f>
        <v>30.12</v>
      </c>
      <c r="V59" s="59">
        <f>ROUND(N!X59/2,2)</f>
        <v>30.12</v>
      </c>
    </row>
    <row r="60" spans="1:22" ht="15" thickBot="1">
      <c r="A60" s="54">
        <f t="shared" si="1"/>
        <v>52</v>
      </c>
      <c r="C60" s="59">
        <f>ROUND(N!C60/2,2)</f>
        <v>31.26</v>
      </c>
      <c r="D60" s="59">
        <f>ROUND(N!D60/2,2)</f>
        <v>28.85</v>
      </c>
      <c r="E60" s="59">
        <f>ROUND(N!E60/2,2)</f>
        <v>28.85</v>
      </c>
      <c r="G60" s="59">
        <f>ROUND(N!G60/2,2)</f>
        <v>28.85</v>
      </c>
      <c r="H60" s="59">
        <f>ROUND(N!H60/2,2)</f>
        <v>27.65</v>
      </c>
      <c r="I60" s="59">
        <f>ROUND(N!I60/2,2)</f>
        <v>27.65</v>
      </c>
      <c r="J60" s="59">
        <f>ROUND(N!J60/2,2)</f>
        <v>27.65</v>
      </c>
      <c r="K60" s="59">
        <f>ROUND(N!K60/2,2)</f>
        <v>27.65</v>
      </c>
      <c r="L60" s="59">
        <f>ROUND(N!L60/2,2)</f>
        <v>27.65</v>
      </c>
      <c r="N60" s="59">
        <f>ROUND(N!O60/2,2)</f>
        <v>27.65</v>
      </c>
      <c r="P60" s="59">
        <f>ROUND(N!Q60/2,2)</f>
        <v>30.68</v>
      </c>
      <c r="Q60" s="59">
        <f>ROUND(N!R60/2,2)</f>
        <v>30.12</v>
      </c>
      <c r="R60" s="59">
        <f>ROUND(N!S60/2,2)</f>
        <v>30.12</v>
      </c>
      <c r="S60" s="59">
        <f>ROUND(N!T60/2,2)</f>
        <v>30.12</v>
      </c>
      <c r="T60" s="59">
        <f>ROUND(N!U60/2,2)</f>
        <v>30.12</v>
      </c>
      <c r="V60" s="59">
        <f>ROUND(N!X60/2,2)</f>
        <v>30.12</v>
      </c>
    </row>
    <row r="61" spans="1:22" ht="15" thickBot="1">
      <c r="A61" s="54">
        <f t="shared" si="1"/>
        <v>53</v>
      </c>
      <c r="C61" s="59">
        <f>ROUND(N!C61/2,2)</f>
        <v>31.75</v>
      </c>
      <c r="D61" s="59">
        <f>ROUND(N!D61/2,2)</f>
        <v>29.31</v>
      </c>
      <c r="E61" s="59">
        <f>ROUND(N!E61/2,2)</f>
        <v>29.31</v>
      </c>
      <c r="G61" s="59">
        <f>ROUND(N!G61/2,2)</f>
        <v>29.31</v>
      </c>
      <c r="H61" s="59">
        <f>ROUND(N!H61/2,2)</f>
        <v>27.65</v>
      </c>
      <c r="I61" s="59">
        <f>ROUND(N!I61/2,2)</f>
        <v>27.65</v>
      </c>
      <c r="J61" s="59">
        <f>ROUND(N!J61/2,2)</f>
        <v>27.65</v>
      </c>
      <c r="K61" s="59">
        <f>ROUND(N!K61/2,2)</f>
        <v>27.65</v>
      </c>
      <c r="L61" s="59">
        <f>ROUND(N!L61/2,2)</f>
        <v>27.65</v>
      </c>
      <c r="N61" s="59">
        <f>ROUND(N!O61/2,2)</f>
        <v>27.65</v>
      </c>
      <c r="P61" s="59">
        <f>ROUND(N!Q61/2,2)</f>
        <v>30.68</v>
      </c>
      <c r="Q61" s="59">
        <f>ROUND(N!R61/2,2)</f>
        <v>30.12</v>
      </c>
      <c r="R61" s="59">
        <f>ROUND(N!S61/2,2)</f>
        <v>30.12</v>
      </c>
      <c r="S61" s="59">
        <f>ROUND(N!T61/2,2)</f>
        <v>30.12</v>
      </c>
      <c r="T61" s="59">
        <f>ROUND(N!U61/2,2)</f>
        <v>30.12</v>
      </c>
      <c r="V61" s="59">
        <f>ROUND(N!X61/2,2)</f>
        <v>30.12</v>
      </c>
    </row>
    <row r="62" spans="1:22" ht="15" thickBot="1">
      <c r="A62" s="54">
        <f t="shared" si="1"/>
        <v>54</v>
      </c>
      <c r="C62" s="59">
        <f>ROUND(N!C62/2,2)</f>
        <v>31.99</v>
      </c>
      <c r="D62" s="59">
        <f>ROUND(N!D62/2,2)</f>
        <v>29.53</v>
      </c>
      <c r="E62" s="59">
        <f>ROUND(N!E62/2,2)</f>
        <v>29.53</v>
      </c>
      <c r="G62" s="59">
        <f>ROUND(N!G62/2,2)</f>
        <v>29.53</v>
      </c>
      <c r="H62" s="59">
        <f>ROUND(N!H62/2,2)</f>
        <v>27.65</v>
      </c>
      <c r="I62" s="59">
        <f>ROUND(N!I62/2,2)</f>
        <v>27.65</v>
      </c>
      <c r="J62" s="59">
        <f>ROUND(N!J62/2,2)</f>
        <v>27.65</v>
      </c>
      <c r="K62" s="59">
        <f>ROUND(N!K62/2,2)</f>
        <v>27.65</v>
      </c>
      <c r="L62" s="59">
        <f>ROUND(N!L62/2,2)</f>
        <v>27.65</v>
      </c>
      <c r="N62" s="59">
        <f>ROUND(N!O62/2,2)</f>
        <v>27.65</v>
      </c>
      <c r="P62" s="59">
        <f>ROUND(N!Q62/2,2)</f>
        <v>30.68</v>
      </c>
      <c r="Q62" s="59">
        <f>ROUND(N!R62/2,2)</f>
        <v>30.12</v>
      </c>
      <c r="R62" s="59">
        <f>ROUND(N!S62/2,2)</f>
        <v>30.12</v>
      </c>
      <c r="S62" s="59">
        <f>ROUND(N!T62/2,2)</f>
        <v>30.12</v>
      </c>
      <c r="T62" s="59">
        <f>ROUND(N!U62/2,2)</f>
        <v>30.12</v>
      </c>
      <c r="V62" s="59">
        <f>ROUND(N!X62/2,2)</f>
        <v>30.12</v>
      </c>
    </row>
    <row r="63" spans="1:22" ht="15" thickBot="1">
      <c r="A63" s="54">
        <f t="shared" si="1"/>
        <v>55</v>
      </c>
      <c r="C63" s="59">
        <f>ROUND(N!C63/2,2)</f>
        <v>32.24</v>
      </c>
      <c r="D63" s="59">
        <f>ROUND(N!D63/2,2)</f>
        <v>29.76</v>
      </c>
      <c r="E63" s="59">
        <f>ROUND(N!E63/2,2)</f>
        <v>29.76</v>
      </c>
      <c r="G63" s="59">
        <f>ROUND(N!G63/2,2)</f>
        <v>29.76</v>
      </c>
      <c r="H63" s="59">
        <f>ROUND(N!H63/2,2)</f>
        <v>27.65</v>
      </c>
      <c r="I63" s="59">
        <f>ROUND(N!I63/2,2)</f>
        <v>27.65</v>
      </c>
      <c r="J63" s="59">
        <f>ROUND(N!J63/2,2)</f>
        <v>27.65</v>
      </c>
      <c r="K63" s="59">
        <f>ROUND(N!K63/2,2)</f>
        <v>27.65</v>
      </c>
      <c r="L63" s="59">
        <f>ROUND(N!L63/2,2)</f>
        <v>27.65</v>
      </c>
      <c r="N63" s="59">
        <f>ROUND(N!O63/2,2)</f>
        <v>27.65</v>
      </c>
      <c r="P63" s="59">
        <f>ROUND(N!Q63/2,2)</f>
        <v>30.68</v>
      </c>
      <c r="Q63" s="59">
        <f>ROUND(N!R63/2,2)</f>
        <v>30.12</v>
      </c>
      <c r="R63" s="59">
        <f>ROUND(N!S63/2,2)</f>
        <v>30.12</v>
      </c>
      <c r="S63" s="59">
        <f>ROUND(N!T63/2,2)</f>
        <v>30.12</v>
      </c>
      <c r="T63" s="59">
        <f>ROUND(N!U63/2,2)</f>
        <v>30.12</v>
      </c>
      <c r="V63" s="59">
        <f>ROUND(N!X63/2,2)</f>
        <v>30.12</v>
      </c>
    </row>
    <row r="64" spans="1:22" ht="15" thickBot="1">
      <c r="A64" s="54">
        <f t="shared" si="1"/>
        <v>56</v>
      </c>
      <c r="C64" s="59">
        <f>ROUND(N!C64/2,2)</f>
        <v>32.72</v>
      </c>
      <c r="D64" s="59">
        <f>ROUND(N!D64/2,2)</f>
        <v>30.21</v>
      </c>
      <c r="E64" s="59">
        <f>ROUND(N!E64/2,2)</f>
        <v>30.21</v>
      </c>
      <c r="G64" s="59">
        <f>ROUND(N!G64/2,2)</f>
        <v>30.21</v>
      </c>
      <c r="H64" s="59">
        <f>ROUND(N!H64/2,2)</f>
        <v>27.69</v>
      </c>
      <c r="I64" s="59">
        <f>ROUND(N!I64/2,2)</f>
        <v>27.65</v>
      </c>
      <c r="J64" s="59">
        <f>ROUND(N!J64/2,2)</f>
        <v>27.65</v>
      </c>
      <c r="K64" s="59">
        <f>ROUND(N!K64/2,2)</f>
        <v>27.65</v>
      </c>
      <c r="L64" s="59">
        <f>ROUND(N!L64/2,2)</f>
        <v>27.65</v>
      </c>
      <c r="N64" s="59">
        <f>ROUND(N!O64/2,2)</f>
        <v>27.65</v>
      </c>
      <c r="P64" s="59">
        <f>ROUND(N!Q64/2,2)</f>
        <v>30.68</v>
      </c>
      <c r="Q64" s="59">
        <f>ROUND(N!R64/2,2)</f>
        <v>30.12</v>
      </c>
      <c r="R64" s="59">
        <f>ROUND(N!S64/2,2)</f>
        <v>30.12</v>
      </c>
      <c r="S64" s="59">
        <f>ROUND(N!T64/2,2)</f>
        <v>30.12</v>
      </c>
      <c r="T64" s="59">
        <f>ROUND(N!U64/2,2)</f>
        <v>30.12</v>
      </c>
      <c r="V64" s="59">
        <f>ROUND(N!X64/2,2)</f>
        <v>30.12</v>
      </c>
    </row>
    <row r="65" spans="1:22" ht="15" thickBot="1">
      <c r="A65" s="54">
        <f t="shared" si="1"/>
        <v>57</v>
      </c>
      <c r="C65" s="59">
        <f>ROUND(N!C65/2,2)</f>
        <v>33.21</v>
      </c>
      <c r="D65" s="59">
        <f>ROUND(N!D65/2,2)</f>
        <v>30.66</v>
      </c>
      <c r="E65" s="59">
        <f>ROUND(N!E65/2,2)</f>
        <v>30.66</v>
      </c>
      <c r="G65" s="59">
        <f>ROUND(N!G65/2,2)</f>
        <v>30.66</v>
      </c>
      <c r="H65" s="59">
        <f>ROUND(N!H65/2,2)</f>
        <v>28.1</v>
      </c>
      <c r="I65" s="59">
        <f>ROUND(N!I65/2,2)</f>
        <v>27.65</v>
      </c>
      <c r="J65" s="59">
        <f>ROUND(N!J65/2,2)</f>
        <v>27.65</v>
      </c>
      <c r="K65" s="59">
        <f>ROUND(N!K65/2,2)</f>
        <v>27.65</v>
      </c>
      <c r="L65" s="59">
        <f>ROUND(N!L65/2,2)</f>
        <v>27.65</v>
      </c>
      <c r="N65" s="59">
        <f>ROUND(N!O65/2,2)</f>
        <v>27.65</v>
      </c>
      <c r="P65" s="59">
        <f>ROUND(N!Q65/2,2)</f>
        <v>30.68</v>
      </c>
      <c r="Q65" s="59">
        <f>ROUND(N!R65/2,2)</f>
        <v>30.12</v>
      </c>
      <c r="R65" s="59">
        <f>ROUND(N!S65/2,2)</f>
        <v>30.12</v>
      </c>
      <c r="S65" s="59">
        <f>ROUND(N!T65/2,2)</f>
        <v>30.12</v>
      </c>
      <c r="T65" s="59">
        <f>ROUND(N!U65/2,2)</f>
        <v>30.12</v>
      </c>
      <c r="V65" s="59">
        <f>ROUND(N!X65/2,2)</f>
        <v>30.12</v>
      </c>
    </row>
    <row r="66" spans="1:22" ht="15" thickBot="1">
      <c r="A66" s="54">
        <f t="shared" si="1"/>
        <v>58</v>
      </c>
      <c r="C66" s="59">
        <f>ROUND(N!C66/2,2)</f>
        <v>33.700000000000003</v>
      </c>
      <c r="D66" s="59">
        <f>ROUND(N!D66/2,2)</f>
        <v>31.11</v>
      </c>
      <c r="E66" s="59">
        <f>ROUND(N!E66/2,2)</f>
        <v>31.11</v>
      </c>
      <c r="G66" s="59">
        <f>ROUND(N!G66/2,2)</f>
        <v>31.11</v>
      </c>
      <c r="H66" s="59">
        <f>ROUND(N!H66/2,2)</f>
        <v>28.52</v>
      </c>
      <c r="I66" s="59">
        <f>ROUND(N!I66/2,2)</f>
        <v>27.75</v>
      </c>
      <c r="J66" s="59">
        <f>ROUND(N!J66/2,2)</f>
        <v>27.65</v>
      </c>
      <c r="K66" s="59">
        <f>ROUND(N!K66/2,2)</f>
        <v>27.65</v>
      </c>
      <c r="L66" s="59">
        <f>ROUND(N!L66/2,2)</f>
        <v>27.65</v>
      </c>
      <c r="N66" s="59">
        <f>ROUND(N!O66/2,2)</f>
        <v>27.65</v>
      </c>
      <c r="P66" s="59">
        <f>ROUND(N!Q66/2,2)</f>
        <v>31.11</v>
      </c>
      <c r="Q66" s="59">
        <f>ROUND(N!R66/2,2)</f>
        <v>30.31</v>
      </c>
      <c r="R66" s="59">
        <f>ROUND(N!S66/2,2)</f>
        <v>30.12</v>
      </c>
      <c r="S66" s="59">
        <f>ROUND(N!T66/2,2)</f>
        <v>30.12</v>
      </c>
      <c r="T66" s="59">
        <f>ROUND(N!U66/2,2)</f>
        <v>30.12</v>
      </c>
      <c r="V66" s="59">
        <f>ROUND(N!X66/2,2)</f>
        <v>30.12</v>
      </c>
    </row>
    <row r="67" spans="1:22" ht="15" thickBot="1">
      <c r="A67" s="54">
        <f t="shared" si="1"/>
        <v>59</v>
      </c>
      <c r="C67" s="59">
        <f>ROUND(N!C67/2,2)</f>
        <v>34.31</v>
      </c>
      <c r="D67" s="59">
        <f>ROUND(N!D67/2,2)</f>
        <v>31.67</v>
      </c>
      <c r="E67" s="59">
        <f>ROUND(N!E67/2,2)</f>
        <v>31.67</v>
      </c>
      <c r="G67" s="59">
        <f>ROUND(N!G67/2,2)</f>
        <v>31.67</v>
      </c>
      <c r="H67" s="59">
        <f>ROUND(N!H67/2,2)</f>
        <v>29.03</v>
      </c>
      <c r="I67" s="59">
        <f>ROUND(N!I67/2,2)</f>
        <v>28.16</v>
      </c>
      <c r="J67" s="59">
        <f>ROUND(N!J67/2,2)</f>
        <v>27.65</v>
      </c>
      <c r="K67" s="59">
        <f>ROUND(N!K67/2,2)</f>
        <v>27.65</v>
      </c>
      <c r="L67" s="59">
        <f>ROUND(N!L67/2,2)</f>
        <v>27.65</v>
      </c>
      <c r="N67" s="59">
        <f>ROUND(N!O67/2,2)</f>
        <v>27.65</v>
      </c>
      <c r="P67" s="59">
        <f>ROUND(N!Q67/2,2)</f>
        <v>31.67</v>
      </c>
      <c r="Q67" s="59">
        <f>ROUND(N!R67/2,2)</f>
        <v>30.77</v>
      </c>
      <c r="R67" s="59">
        <f>ROUND(N!S67/2,2)</f>
        <v>30.12</v>
      </c>
      <c r="S67" s="59">
        <f>ROUND(N!T67/2,2)</f>
        <v>30.12</v>
      </c>
      <c r="T67" s="59">
        <f>ROUND(N!U67/2,2)</f>
        <v>30.12</v>
      </c>
      <c r="V67" s="59">
        <f>ROUND(N!X67/2,2)</f>
        <v>30.12</v>
      </c>
    </row>
    <row r="68" spans="1:22" ht="15" thickBot="1">
      <c r="A68" s="54">
        <f t="shared" si="1"/>
        <v>60</v>
      </c>
      <c r="C68" s="59">
        <f>ROUND(N!C68/2,2)</f>
        <v>34.74</v>
      </c>
      <c r="D68" s="59">
        <f>ROUND(N!D68/2,2)</f>
        <v>32.07</v>
      </c>
      <c r="E68" s="59">
        <f>ROUND(N!E68/2,2)</f>
        <v>32.07</v>
      </c>
      <c r="G68" s="59">
        <f>ROUND(N!G68/2,2)</f>
        <v>32.07</v>
      </c>
      <c r="H68" s="59">
        <f>ROUND(N!H68/2,2)</f>
        <v>29.4</v>
      </c>
      <c r="I68" s="59">
        <f>ROUND(N!I68/2,2)</f>
        <v>28.45</v>
      </c>
      <c r="J68" s="59">
        <f>ROUND(N!J68/2,2)</f>
        <v>27.65</v>
      </c>
      <c r="K68" s="59">
        <f>ROUND(N!K68/2,2)</f>
        <v>27.65</v>
      </c>
      <c r="L68" s="59">
        <f>ROUND(N!L68/2,2)</f>
        <v>27.65</v>
      </c>
      <c r="N68" s="59">
        <f>ROUND(N!O68/2,2)</f>
        <v>27.65</v>
      </c>
      <c r="P68" s="59">
        <f>ROUND(N!Q68/2,2)</f>
        <v>32.07</v>
      </c>
      <c r="Q68" s="59">
        <f>ROUND(N!R68/2,2)</f>
        <v>31.08</v>
      </c>
      <c r="R68" s="59">
        <f>ROUND(N!S68/2,2)</f>
        <v>30.12</v>
      </c>
      <c r="S68" s="59">
        <f>ROUND(N!T68/2,2)</f>
        <v>30.12</v>
      </c>
      <c r="T68" s="59">
        <f>ROUND(N!U68/2,2)</f>
        <v>30.12</v>
      </c>
      <c r="V68" s="59">
        <f>ROUND(N!X68/2,2)</f>
        <v>30.12</v>
      </c>
    </row>
    <row r="69" spans="1:22" ht="15" thickBot="1">
      <c r="A69" s="54">
        <f t="shared" si="1"/>
        <v>61</v>
      </c>
      <c r="C69" s="59">
        <f>ROUND(N!C69/2,2)</f>
        <v>35.17</v>
      </c>
      <c r="D69" s="59">
        <f>ROUND(N!D69/2,2)</f>
        <v>32.46</v>
      </c>
      <c r="E69" s="59">
        <f>ROUND(N!E69/2,2)</f>
        <v>32.46</v>
      </c>
      <c r="G69" s="59">
        <f>ROUND(N!G69/2,2)</f>
        <v>32.46</v>
      </c>
      <c r="H69" s="59">
        <f>ROUND(N!H69/2,2)</f>
        <v>29.76</v>
      </c>
      <c r="I69" s="59">
        <f>ROUND(N!I69/2,2)</f>
        <v>28.74</v>
      </c>
      <c r="J69" s="59">
        <f>ROUND(N!J69/2,2)</f>
        <v>27.72</v>
      </c>
      <c r="K69" s="59">
        <f>ROUND(N!K69/2,2)</f>
        <v>27.65</v>
      </c>
      <c r="L69" s="59">
        <f>ROUND(N!L69/2,2)</f>
        <v>27.65</v>
      </c>
      <c r="N69" s="59">
        <f>ROUND(N!O69/2,2)</f>
        <v>27.65</v>
      </c>
      <c r="P69" s="59">
        <f>ROUND(N!Q69/2,2)</f>
        <v>32.46</v>
      </c>
      <c r="Q69" s="59">
        <f>ROUND(N!R69/2,2)</f>
        <v>31.4</v>
      </c>
      <c r="R69" s="59">
        <f>ROUND(N!S69/2,2)</f>
        <v>30.33</v>
      </c>
      <c r="S69" s="59">
        <f>ROUND(N!T69/2,2)</f>
        <v>30.12</v>
      </c>
      <c r="T69" s="59">
        <f>ROUND(N!U69/2,2)</f>
        <v>30.12</v>
      </c>
      <c r="V69" s="59">
        <f>ROUND(N!X69/2,2)</f>
        <v>30.12</v>
      </c>
    </row>
    <row r="70" spans="1:22" ht="15" thickBot="1">
      <c r="A70" s="54">
        <f t="shared" si="1"/>
        <v>62</v>
      </c>
      <c r="C70" s="59">
        <f>ROUND(N!C70/2,2)</f>
        <v>35.65</v>
      </c>
      <c r="D70" s="59">
        <f>ROUND(N!D70/2,2)</f>
        <v>32.909999999999997</v>
      </c>
      <c r="E70" s="59">
        <f>ROUND(N!E70/2,2)</f>
        <v>32.909999999999997</v>
      </c>
      <c r="G70" s="59">
        <f>ROUND(N!G70/2,2)</f>
        <v>32.909999999999997</v>
      </c>
      <c r="H70" s="59">
        <f>ROUND(N!H70/2,2)</f>
        <v>30.17</v>
      </c>
      <c r="I70" s="59">
        <f>ROUND(N!I70/2,2)</f>
        <v>29.07</v>
      </c>
      <c r="J70" s="59">
        <f>ROUND(N!J70/2,2)</f>
        <v>27.97</v>
      </c>
      <c r="K70" s="59">
        <f>ROUND(N!K70/2,2)</f>
        <v>27.65</v>
      </c>
      <c r="L70" s="59">
        <f>ROUND(N!L70/2,2)</f>
        <v>27.65</v>
      </c>
      <c r="N70" s="59">
        <f>ROUND(N!O70/2,2)</f>
        <v>27.65</v>
      </c>
      <c r="P70" s="59">
        <f>ROUND(N!Q70/2,2)</f>
        <v>32.909999999999997</v>
      </c>
      <c r="Q70" s="59">
        <f>ROUND(N!R70/2,2)</f>
        <v>31.76</v>
      </c>
      <c r="R70" s="59">
        <f>ROUND(N!S70/2,2)</f>
        <v>30.6</v>
      </c>
      <c r="S70" s="59">
        <f>ROUND(N!T70/2,2)</f>
        <v>30.12</v>
      </c>
      <c r="T70" s="59">
        <f>ROUND(N!U70/2,2)</f>
        <v>30.12</v>
      </c>
      <c r="V70" s="59">
        <f>ROUND(N!X70/2,2)</f>
        <v>30.12</v>
      </c>
    </row>
    <row r="71" spans="1:22" ht="15" thickBot="1">
      <c r="A71" s="54">
        <f t="shared" si="1"/>
        <v>63</v>
      </c>
      <c r="C71" s="59">
        <f>ROUND(N!C71/2,2)</f>
        <v>36.14</v>
      </c>
      <c r="D71" s="59">
        <f>ROUND(N!D71/2,2)</f>
        <v>33.36</v>
      </c>
      <c r="E71" s="59">
        <f>ROUND(N!E71/2,2)</f>
        <v>33.36</v>
      </c>
      <c r="G71" s="59">
        <f>ROUND(N!G71/2,2)</f>
        <v>33.36</v>
      </c>
      <c r="H71" s="59">
        <f>ROUND(N!H71/2,2)</f>
        <v>30.58</v>
      </c>
      <c r="I71" s="59">
        <f>ROUND(N!I71/2,2)</f>
        <v>29.4</v>
      </c>
      <c r="J71" s="59">
        <f>ROUND(N!J71/2,2)</f>
        <v>28.22</v>
      </c>
      <c r="K71" s="59">
        <f>ROUND(N!K71/2,2)</f>
        <v>27.65</v>
      </c>
      <c r="L71" s="59">
        <f>ROUND(N!L71/2,2)</f>
        <v>27.65</v>
      </c>
      <c r="N71" s="59">
        <f>ROUND(N!O71/2,2)</f>
        <v>27.65</v>
      </c>
      <c r="P71" s="59">
        <f>ROUND(N!Q71/2,2)</f>
        <v>33.36</v>
      </c>
      <c r="Q71" s="59">
        <f>ROUND(N!R71/2,2)</f>
        <v>32.119999999999997</v>
      </c>
      <c r="R71" s="59">
        <f>ROUND(N!S71/2,2)</f>
        <v>30.87</v>
      </c>
      <c r="S71" s="59">
        <f>ROUND(N!T71/2,2)</f>
        <v>30.12</v>
      </c>
      <c r="T71" s="59">
        <f>ROUND(N!U71/2,2)</f>
        <v>30.12</v>
      </c>
      <c r="V71" s="59">
        <f>ROUND(N!X71/2,2)</f>
        <v>30.12</v>
      </c>
    </row>
    <row r="72" spans="1:22" ht="15" thickBot="1">
      <c r="A72" s="54">
        <f t="shared" si="1"/>
        <v>64</v>
      </c>
      <c r="C72" s="59">
        <f>ROUND(N!C72/2,2)</f>
        <v>36.72</v>
      </c>
      <c r="D72" s="59">
        <f>ROUND(N!D72/2,2)</f>
        <v>33.89</v>
      </c>
      <c r="E72" s="59">
        <f>ROUND(N!E72/2,2)</f>
        <v>33.89</v>
      </c>
      <c r="G72" s="59">
        <f>ROUND(N!G72/2,2)</f>
        <v>33.89</v>
      </c>
      <c r="H72" s="59">
        <f>ROUND(N!H72/2,2)</f>
        <v>30.93</v>
      </c>
      <c r="I72" s="59">
        <f>ROUND(N!I72/2,2)</f>
        <v>29.68</v>
      </c>
      <c r="J72" s="59">
        <f>ROUND(N!J72/2,2)</f>
        <v>28.43</v>
      </c>
      <c r="K72" s="59">
        <f>ROUND(N!K72/2,2)</f>
        <v>27.65</v>
      </c>
      <c r="L72" s="59">
        <f>ROUND(N!L72/2,2)</f>
        <v>27.65</v>
      </c>
      <c r="N72" s="59">
        <f>ROUND(N!O72/2,2)</f>
        <v>27.65</v>
      </c>
      <c r="P72" s="59">
        <f>ROUND(N!Q72/2,2)</f>
        <v>33.89</v>
      </c>
      <c r="Q72" s="59">
        <f>ROUND(N!R72/2,2)</f>
        <v>32.54</v>
      </c>
      <c r="R72" s="59">
        <f>ROUND(N!S72/2,2)</f>
        <v>31.19</v>
      </c>
      <c r="S72" s="59">
        <f>ROUND(N!T72/2,2)</f>
        <v>30.12</v>
      </c>
      <c r="T72" s="59">
        <f>ROUND(N!U72/2,2)</f>
        <v>30.12</v>
      </c>
      <c r="V72" s="59">
        <f>ROUND(N!X72/2,2)</f>
        <v>30.12</v>
      </c>
    </row>
    <row r="73" spans="1:22" ht="15" thickBot="1">
      <c r="A73" s="54">
        <f t="shared" si="1"/>
        <v>65</v>
      </c>
      <c r="C73" s="59">
        <f>ROUND(N!C73/2,2)</f>
        <v>37.17</v>
      </c>
      <c r="D73" s="59">
        <f>ROUND(N!D73/2,2)</f>
        <v>34.32</v>
      </c>
      <c r="E73" s="59">
        <f>ROUND(N!E73/2,2)</f>
        <v>34.32</v>
      </c>
      <c r="G73" s="59">
        <f>ROUND(N!G73/2,2)</f>
        <v>34.32</v>
      </c>
      <c r="H73" s="59">
        <f>ROUND(N!H73/2,2)</f>
        <v>30.93</v>
      </c>
      <c r="I73" s="59">
        <f>ROUND(N!I73/2,2)</f>
        <v>29.68</v>
      </c>
      <c r="J73" s="59">
        <f>ROUND(N!J73/2,2)</f>
        <v>28.43</v>
      </c>
      <c r="K73" s="59">
        <f>ROUND(N!K73/2,2)</f>
        <v>27.65</v>
      </c>
      <c r="L73" s="59">
        <f>ROUND(N!L73/2,2)</f>
        <v>27.65</v>
      </c>
      <c r="N73" s="59">
        <f>ROUND(N!O73/2,2)</f>
        <v>27.65</v>
      </c>
      <c r="P73" s="59">
        <f>ROUND(N!Q73/2,2)</f>
        <v>34.32</v>
      </c>
      <c r="Q73" s="59">
        <f>ROUND(N!R73/2,2)</f>
        <v>32.880000000000003</v>
      </c>
      <c r="R73" s="59">
        <f>ROUND(N!S73/2,2)</f>
        <v>31.45</v>
      </c>
      <c r="S73" s="59">
        <f>ROUND(N!T73/2,2)</f>
        <v>30.12</v>
      </c>
      <c r="T73" s="59">
        <f>ROUND(N!U73/2,2)</f>
        <v>30.12</v>
      </c>
      <c r="V73" s="59">
        <f>ROUND(N!X73/2,2)</f>
        <v>30.12</v>
      </c>
    </row>
    <row r="74" spans="1:22" ht="15" thickBot="1">
      <c r="A74" s="54">
        <f t="shared" si="1"/>
        <v>66</v>
      </c>
      <c r="C74" s="59">
        <f>ROUND(N!C74/2,2)</f>
        <v>37.61</v>
      </c>
      <c r="D74" s="59">
        <f>ROUND(N!D74/2,2)</f>
        <v>34.72</v>
      </c>
      <c r="E74" s="59">
        <f>ROUND(N!E74/2,2)</f>
        <v>34.72</v>
      </c>
      <c r="G74" s="59">
        <f>ROUND(N!G74/2,2)</f>
        <v>34.5</v>
      </c>
      <c r="H74" s="59">
        <f>ROUND(N!H74/2,2)</f>
        <v>30.93</v>
      </c>
      <c r="I74" s="59">
        <f>ROUND(N!I74/2,2)</f>
        <v>29.68</v>
      </c>
      <c r="J74" s="59">
        <f>ROUND(N!J74/2,2)</f>
        <v>28.43</v>
      </c>
      <c r="K74" s="59">
        <f>ROUND(N!K74/2,2)</f>
        <v>27.65</v>
      </c>
      <c r="L74" s="59">
        <f>ROUND(N!L74/2,2)</f>
        <v>27.65</v>
      </c>
      <c r="N74" s="59">
        <f>ROUND(N!O74/2,2)</f>
        <v>27.65</v>
      </c>
      <c r="P74" s="59">
        <f>ROUND(N!Q74/2,2)</f>
        <v>34.5</v>
      </c>
      <c r="Q74" s="59">
        <f>ROUND(N!R74/2,2)</f>
        <v>33.03</v>
      </c>
      <c r="R74" s="59">
        <f>ROUND(N!S74/2,2)</f>
        <v>31.56</v>
      </c>
      <c r="S74" s="59">
        <f>ROUND(N!T74/2,2)</f>
        <v>30.12</v>
      </c>
      <c r="T74" s="59">
        <f>ROUND(N!U74/2,2)</f>
        <v>30.12</v>
      </c>
      <c r="V74" s="59">
        <f>ROUND(N!X74/2,2)</f>
        <v>30.12</v>
      </c>
    </row>
    <row r="75" spans="1:22" ht="15" thickBot="1">
      <c r="A75" s="54">
        <f t="shared" ref="A75:A82" si="2">A74+1</f>
        <v>67</v>
      </c>
      <c r="C75" s="59">
        <f>ROUND(N!C75/2,2)</f>
        <v>38.1</v>
      </c>
      <c r="D75" s="59">
        <f>ROUND(N!D75/2,2)</f>
        <v>35.17</v>
      </c>
      <c r="E75" s="59">
        <f>ROUND(N!E75/2,2)</f>
        <v>35.17</v>
      </c>
      <c r="G75" s="59">
        <f>ROUND(N!G75/2,2)</f>
        <v>34.5</v>
      </c>
      <c r="H75" s="59">
        <f>ROUND(N!H75/2,2)</f>
        <v>30.93</v>
      </c>
      <c r="I75" s="59">
        <f>ROUND(N!I75/2,2)</f>
        <v>29.68</v>
      </c>
      <c r="J75" s="59">
        <f>ROUND(N!J75/2,2)</f>
        <v>28.43</v>
      </c>
      <c r="K75" s="59">
        <f>ROUND(N!K75/2,2)</f>
        <v>27.65</v>
      </c>
      <c r="L75" s="59">
        <f>ROUND(N!L75/2,2)</f>
        <v>27.65</v>
      </c>
      <c r="N75" s="59">
        <f>ROUND(N!O75/2,2)</f>
        <v>27.65</v>
      </c>
      <c r="P75" s="59">
        <f>ROUND(N!Q75/2,2)</f>
        <v>34.5</v>
      </c>
      <c r="Q75" s="59">
        <f>ROUND(N!R75/2,2)</f>
        <v>33.03</v>
      </c>
      <c r="R75" s="59">
        <f>ROUND(N!S75/2,2)</f>
        <v>31.56</v>
      </c>
      <c r="S75" s="59">
        <f>ROUND(N!T75/2,2)</f>
        <v>30.12</v>
      </c>
      <c r="T75" s="59">
        <f>ROUND(N!U75/2,2)</f>
        <v>30.12</v>
      </c>
      <c r="V75" s="59">
        <f>ROUND(N!X75/2,2)</f>
        <v>30.12</v>
      </c>
    </row>
    <row r="76" spans="1:22" ht="15" thickBot="1">
      <c r="A76" s="54">
        <f t="shared" si="2"/>
        <v>68</v>
      </c>
      <c r="C76" s="59">
        <f>ROUND(N!C76/2,2)</f>
        <v>38.58</v>
      </c>
      <c r="D76" s="59">
        <f>ROUND(N!D76/2,2)</f>
        <v>35.619999999999997</v>
      </c>
      <c r="E76" s="59">
        <f>ROUND(N!E76/2,2)</f>
        <v>35.619999999999997</v>
      </c>
      <c r="G76" s="59">
        <f>ROUND(N!G76/2,2)</f>
        <v>34.5</v>
      </c>
      <c r="H76" s="59">
        <f>ROUND(N!H76/2,2)</f>
        <v>30.93</v>
      </c>
      <c r="I76" s="59">
        <f>ROUND(N!I76/2,2)</f>
        <v>29.68</v>
      </c>
      <c r="J76" s="59">
        <f>ROUND(N!J76/2,2)</f>
        <v>28.43</v>
      </c>
      <c r="K76" s="59">
        <f>ROUND(N!K76/2,2)</f>
        <v>27.65</v>
      </c>
      <c r="L76" s="59">
        <f>ROUND(N!L76/2,2)</f>
        <v>27.65</v>
      </c>
      <c r="N76" s="59">
        <f>ROUND(N!O76/2,2)</f>
        <v>27.65</v>
      </c>
      <c r="P76" s="59">
        <f>ROUND(N!Q76/2,2)</f>
        <v>34.5</v>
      </c>
      <c r="Q76" s="59">
        <f>ROUND(N!R76/2,2)</f>
        <v>33.03</v>
      </c>
      <c r="R76" s="59">
        <f>ROUND(N!S76/2,2)</f>
        <v>31.56</v>
      </c>
      <c r="S76" s="59">
        <f>ROUND(N!T76/2,2)</f>
        <v>30.12</v>
      </c>
      <c r="T76" s="59">
        <f>ROUND(N!U76/2,2)</f>
        <v>30.12</v>
      </c>
      <c r="V76" s="59">
        <f>ROUND(N!X76/2,2)</f>
        <v>30.12</v>
      </c>
    </row>
    <row r="77" spans="1:22" ht="15" thickBot="1">
      <c r="A77" s="54">
        <f t="shared" si="2"/>
        <v>69</v>
      </c>
      <c r="C77" s="59">
        <f>ROUND(N!C77/2,2)</f>
        <v>39.07</v>
      </c>
      <c r="D77" s="59">
        <f>ROUND(N!D77/2,2)</f>
        <v>36.07</v>
      </c>
      <c r="E77" s="59">
        <f>ROUND(N!E77/2,2)</f>
        <v>36.07</v>
      </c>
      <c r="G77" s="59">
        <f>ROUND(N!G77/2,2)</f>
        <v>34.5</v>
      </c>
      <c r="H77" s="59">
        <f>ROUND(N!H77/2,2)</f>
        <v>30.93</v>
      </c>
      <c r="I77" s="59">
        <f>ROUND(N!I77/2,2)</f>
        <v>29.68</v>
      </c>
      <c r="J77" s="59">
        <f>ROUND(N!J77/2,2)</f>
        <v>28.43</v>
      </c>
      <c r="K77" s="59">
        <f>ROUND(N!K77/2,2)</f>
        <v>27.65</v>
      </c>
      <c r="L77" s="59">
        <f>ROUND(N!L77/2,2)</f>
        <v>27.65</v>
      </c>
      <c r="N77" s="59">
        <f>ROUND(N!O77/2,2)</f>
        <v>27.65</v>
      </c>
      <c r="P77" s="59">
        <f>ROUND(N!Q77/2,2)</f>
        <v>34.5</v>
      </c>
      <c r="Q77" s="59">
        <f>ROUND(N!R77/2,2)</f>
        <v>33.03</v>
      </c>
      <c r="R77" s="59">
        <f>ROUND(N!S77/2,2)</f>
        <v>31.56</v>
      </c>
      <c r="S77" s="59">
        <f>ROUND(N!T77/2,2)</f>
        <v>30.12</v>
      </c>
      <c r="T77" s="59">
        <f>ROUND(N!U77/2,2)</f>
        <v>30.12</v>
      </c>
      <c r="V77" s="59">
        <f>ROUND(N!X77/2,2)</f>
        <v>30.12</v>
      </c>
    </row>
    <row r="78" spans="1:22" ht="15" thickBot="1">
      <c r="A78" s="54">
        <f t="shared" si="2"/>
        <v>70</v>
      </c>
      <c r="C78" s="59">
        <f>ROUND(N!C78/2,2)</f>
        <v>39.39</v>
      </c>
      <c r="D78" s="59">
        <f>ROUND(N!D78/2,2)</f>
        <v>36.36</v>
      </c>
      <c r="E78" s="59">
        <f>ROUND(N!E78/2,2)</f>
        <v>36.36</v>
      </c>
      <c r="G78" s="59">
        <f>ROUND(N!G78/2,2)</f>
        <v>34.5</v>
      </c>
      <c r="H78" s="59">
        <f>ROUND(N!H78/2,2)</f>
        <v>30.93</v>
      </c>
      <c r="I78" s="59">
        <f>ROUND(N!I78/2,2)</f>
        <v>29.68</v>
      </c>
      <c r="J78" s="59">
        <f>ROUND(N!J78/2,2)</f>
        <v>28.43</v>
      </c>
      <c r="K78" s="59">
        <f>ROUND(N!K78/2,2)</f>
        <v>27.65</v>
      </c>
      <c r="L78" s="59">
        <f>ROUND(N!L78/2,2)</f>
        <v>27.65</v>
      </c>
      <c r="N78" s="59">
        <f>ROUND(N!O78/2,2)</f>
        <v>27.65</v>
      </c>
      <c r="P78" s="59">
        <f>ROUND(N!Q78/2,2)</f>
        <v>34.5</v>
      </c>
      <c r="Q78" s="59">
        <f>ROUND(N!R78/2,2)</f>
        <v>33.03</v>
      </c>
      <c r="R78" s="59">
        <f>ROUND(N!S78/2,2)</f>
        <v>31.56</v>
      </c>
      <c r="S78" s="59">
        <f>ROUND(N!T78/2,2)</f>
        <v>30.12</v>
      </c>
      <c r="T78" s="59">
        <f>ROUND(N!U78/2,2)</f>
        <v>30.12</v>
      </c>
      <c r="V78" s="59">
        <f>ROUND(N!X78/2,2)</f>
        <v>30.12</v>
      </c>
    </row>
    <row r="79" spans="1:22" ht="15" thickBot="1">
      <c r="A79" s="54">
        <f t="shared" si="2"/>
        <v>71</v>
      </c>
      <c r="C79" s="59">
        <f>ROUND(N!C79/2,2)</f>
        <v>39.64</v>
      </c>
      <c r="D79" s="59">
        <f>ROUND(N!D79/2,2)</f>
        <v>36.590000000000003</v>
      </c>
      <c r="E79" s="59">
        <f>ROUND(N!E79/2,2)</f>
        <v>36.590000000000003</v>
      </c>
      <c r="G79" s="59">
        <f>ROUND(N!G79/2,2)</f>
        <v>34.5</v>
      </c>
      <c r="H79" s="59">
        <f>ROUND(N!H79/2,2)</f>
        <v>30.93</v>
      </c>
      <c r="I79" s="59">
        <f>ROUND(N!I79/2,2)</f>
        <v>29.68</v>
      </c>
      <c r="J79" s="59">
        <f>ROUND(N!J79/2,2)</f>
        <v>28.43</v>
      </c>
      <c r="K79" s="59">
        <f>ROUND(N!K79/2,2)</f>
        <v>27.65</v>
      </c>
      <c r="L79" s="59">
        <f>ROUND(N!L79/2,2)</f>
        <v>27.65</v>
      </c>
      <c r="N79" s="59">
        <f>ROUND(N!O79/2,2)</f>
        <v>27.65</v>
      </c>
      <c r="P79" s="59">
        <f>ROUND(N!Q79/2,2)</f>
        <v>34.5</v>
      </c>
      <c r="Q79" s="59">
        <f>ROUND(N!R79/2,2)</f>
        <v>33.03</v>
      </c>
      <c r="R79" s="59">
        <f>ROUND(N!S79/2,2)</f>
        <v>31.56</v>
      </c>
      <c r="S79" s="59">
        <f>ROUND(N!T79/2,2)</f>
        <v>30.12</v>
      </c>
      <c r="T79" s="59">
        <f>ROUND(N!U79/2,2)</f>
        <v>30.12</v>
      </c>
      <c r="V79" s="59">
        <f>ROUND(N!X79/2,2)</f>
        <v>30.12</v>
      </c>
    </row>
    <row r="80" spans="1:22" ht="15" thickBot="1">
      <c r="A80" s="54">
        <f t="shared" si="2"/>
        <v>72</v>
      </c>
      <c r="C80" s="59">
        <f>ROUND(N!C80/2,2)</f>
        <v>39.89</v>
      </c>
      <c r="D80" s="59">
        <f>ROUND(N!D80/2,2)</f>
        <v>36.82</v>
      </c>
      <c r="E80" s="59">
        <f>ROUND(N!E80/2,2)</f>
        <v>36.82</v>
      </c>
      <c r="G80" s="59">
        <f>ROUND(N!G80/2,2)</f>
        <v>34.5</v>
      </c>
      <c r="H80" s="59">
        <f>ROUND(N!H80/2,2)</f>
        <v>30.93</v>
      </c>
      <c r="I80" s="59">
        <f>ROUND(N!I80/2,2)</f>
        <v>29.68</v>
      </c>
      <c r="J80" s="59">
        <f>ROUND(N!J80/2,2)</f>
        <v>28.43</v>
      </c>
      <c r="K80" s="59">
        <f>ROUND(N!K80/2,2)</f>
        <v>27.65</v>
      </c>
      <c r="L80" s="59">
        <f>ROUND(N!L80/2,2)</f>
        <v>27.65</v>
      </c>
      <c r="N80" s="59">
        <f>ROUND(N!O80/2,2)</f>
        <v>27.65</v>
      </c>
      <c r="P80" s="59">
        <f>ROUND(N!Q80/2,2)</f>
        <v>34.5</v>
      </c>
      <c r="Q80" s="59">
        <f>ROUND(N!R80/2,2)</f>
        <v>33.03</v>
      </c>
      <c r="R80" s="59">
        <f>ROUND(N!S80/2,2)</f>
        <v>31.56</v>
      </c>
      <c r="S80" s="59">
        <f>ROUND(N!T80/2,2)</f>
        <v>30.12</v>
      </c>
      <c r="T80" s="59">
        <f>ROUND(N!U80/2,2)</f>
        <v>30.12</v>
      </c>
      <c r="V80" s="59">
        <f>ROUND(N!X80/2,2)</f>
        <v>30.12</v>
      </c>
    </row>
    <row r="81" spans="1:22" ht="15" thickBot="1">
      <c r="A81" s="54">
        <f t="shared" si="2"/>
        <v>73</v>
      </c>
      <c r="C81" s="59">
        <f>ROUND(N!C81/2,2)</f>
        <v>40.44</v>
      </c>
      <c r="D81" s="59">
        <f>ROUND(N!D81/2,2)</f>
        <v>37.33</v>
      </c>
      <c r="E81" s="59">
        <f>ROUND(N!E81/2,2)</f>
        <v>36.909999999999997</v>
      </c>
      <c r="G81" s="59">
        <f>ROUND(N!G81/2,2)</f>
        <v>34.5</v>
      </c>
      <c r="H81" s="59">
        <f>ROUND(N!H81/2,2)</f>
        <v>30.93</v>
      </c>
      <c r="I81" s="59">
        <f>ROUND(N!I81/2,2)</f>
        <v>29.68</v>
      </c>
      <c r="J81" s="59">
        <f>ROUND(N!J81/2,2)</f>
        <v>28.43</v>
      </c>
      <c r="K81" s="59">
        <f>ROUND(N!K81/2,2)</f>
        <v>27.65</v>
      </c>
      <c r="L81" s="59">
        <f>ROUND(N!L81/2,2)</f>
        <v>27.65</v>
      </c>
      <c r="N81" s="59">
        <f>ROUND(N!O81/2,2)</f>
        <v>27.65</v>
      </c>
      <c r="P81" s="59">
        <f>ROUND(N!Q81/2,2)</f>
        <v>34.5</v>
      </c>
      <c r="Q81" s="59">
        <f>ROUND(N!R81/2,2)</f>
        <v>33.03</v>
      </c>
      <c r="R81" s="59">
        <f>ROUND(N!S81/2,2)</f>
        <v>31.56</v>
      </c>
      <c r="S81" s="59">
        <f>ROUND(N!T81/2,2)</f>
        <v>30.12</v>
      </c>
      <c r="T81" s="59">
        <f>ROUND(N!U81/2,2)</f>
        <v>30.12</v>
      </c>
      <c r="V81" s="59">
        <f>ROUND(N!X81/2,2)</f>
        <v>30.12</v>
      </c>
    </row>
    <row r="82" spans="1:22" ht="15" thickBot="1">
      <c r="A82" s="54">
        <f t="shared" si="2"/>
        <v>74</v>
      </c>
      <c r="C82" s="59">
        <f>ROUND(N!C82/2,2)</f>
        <v>40.68</v>
      </c>
      <c r="D82" s="59">
        <f>ROUND(N!D82/2,2)</f>
        <v>37.549999999999997</v>
      </c>
      <c r="E82" s="59">
        <f>ROUND(N!E82/2,2)</f>
        <v>36.909999999999997</v>
      </c>
      <c r="G82" s="59">
        <f>ROUND(N!G82/2,2)</f>
        <v>34.5</v>
      </c>
      <c r="H82" s="59">
        <f>ROUND(N!H82/2,2)</f>
        <v>30.93</v>
      </c>
      <c r="I82" s="59">
        <f>ROUND(N!I82/2,2)</f>
        <v>29.68</v>
      </c>
      <c r="J82" s="59">
        <f>ROUND(N!J82/2,2)</f>
        <v>28.43</v>
      </c>
      <c r="K82" s="59">
        <f>ROUND(N!K82/2,2)</f>
        <v>27.65</v>
      </c>
      <c r="L82" s="59">
        <f>ROUND(N!L82/2,2)</f>
        <v>27.65</v>
      </c>
      <c r="N82" s="59">
        <f>ROUND(N!O82/2,2)</f>
        <v>27.65</v>
      </c>
      <c r="P82" s="59">
        <f>ROUND(N!Q82/2,2)</f>
        <v>34.5</v>
      </c>
      <c r="Q82" s="59">
        <f>ROUND(N!R82/2,2)</f>
        <v>33.03</v>
      </c>
      <c r="R82" s="59">
        <f>ROUND(N!S82/2,2)</f>
        <v>31.56</v>
      </c>
      <c r="S82" s="59">
        <f>ROUND(N!T82/2,2)</f>
        <v>30.12</v>
      </c>
      <c r="T82" s="59">
        <f>ROUND(N!U82/2,2)</f>
        <v>30.12</v>
      </c>
      <c r="V82" s="59">
        <f>ROUND(N!X82/2,2)</f>
        <v>30.12</v>
      </c>
    </row>
    <row r="83" spans="1:22" ht="15" thickBot="1">
      <c r="A83" s="54">
        <f>A82+1</f>
        <v>75</v>
      </c>
      <c r="C83" s="59">
        <f>ROUND(N!C83/2,2)</f>
        <v>41.19</v>
      </c>
      <c r="D83" s="59">
        <f>ROUND(N!D83/2,2)</f>
        <v>38.020000000000003</v>
      </c>
      <c r="E83" s="59">
        <f>ROUND(N!E83/2,2)</f>
        <v>36.909999999999997</v>
      </c>
      <c r="G83" s="59">
        <f>ROUND(N!G83/2,2)</f>
        <v>34.5</v>
      </c>
      <c r="H83" s="59">
        <f>ROUND(N!H83/2,2)</f>
        <v>30.93</v>
      </c>
      <c r="I83" s="59">
        <f>ROUND(N!I83/2,2)</f>
        <v>29.68</v>
      </c>
      <c r="J83" s="59">
        <f>ROUND(N!J83/2,2)</f>
        <v>28.43</v>
      </c>
      <c r="K83" s="59">
        <f>ROUND(N!K83/2,2)</f>
        <v>27.65</v>
      </c>
      <c r="L83" s="59">
        <f>ROUND(N!L83/2,2)</f>
        <v>27.65</v>
      </c>
      <c r="N83" s="59">
        <f>ROUND(N!O83/2,2)</f>
        <v>27.65</v>
      </c>
      <c r="P83" s="59">
        <f>ROUND(N!Q83/2,2)</f>
        <v>34.5</v>
      </c>
      <c r="Q83" s="59">
        <f>ROUND(N!R83/2,2)</f>
        <v>33.03</v>
      </c>
      <c r="R83" s="59">
        <f>ROUND(N!S83/2,2)</f>
        <v>31.56</v>
      </c>
      <c r="S83" s="59">
        <f>ROUND(N!T83/2,2)</f>
        <v>30.12</v>
      </c>
      <c r="T83" s="59">
        <f>ROUND(N!U83/2,2)</f>
        <v>30.12</v>
      </c>
      <c r="V83" s="59">
        <f>ROUND(N!X83/2,2)</f>
        <v>30.12</v>
      </c>
    </row>
    <row r="84" spans="1:22" ht="15" thickBot="1">
      <c r="A84" s="54">
        <f>A83+1</f>
        <v>76</v>
      </c>
      <c r="C84" s="59">
        <f>ROUND(N!C84/2,2)</f>
        <v>41.52</v>
      </c>
      <c r="D84" s="59">
        <f>ROUND(N!D84/2,2)</f>
        <v>38.33</v>
      </c>
      <c r="E84" s="59">
        <f>ROUND(N!E84/2,2)</f>
        <v>36.909999999999997</v>
      </c>
      <c r="G84" s="59">
        <f>ROUND(N!G84/2,2)</f>
        <v>34.5</v>
      </c>
      <c r="H84" s="59">
        <f>ROUND(N!H84/2,2)</f>
        <v>30.93</v>
      </c>
      <c r="I84" s="59">
        <f>ROUND(N!I84/2,2)</f>
        <v>29.68</v>
      </c>
      <c r="J84" s="59">
        <f>ROUND(N!J84/2,2)</f>
        <v>28.43</v>
      </c>
      <c r="K84" s="59">
        <f>ROUND(N!K84/2,2)</f>
        <v>27.65</v>
      </c>
      <c r="L84" s="59">
        <f>ROUND(N!L84/2,2)</f>
        <v>27.65</v>
      </c>
      <c r="N84" s="59">
        <f>ROUND(N!O84/2,2)</f>
        <v>27.65</v>
      </c>
      <c r="P84" s="59">
        <f>ROUND(N!Q84/2,2)</f>
        <v>34.5</v>
      </c>
      <c r="Q84" s="59">
        <f>ROUND(N!R84/2,2)</f>
        <v>33.03</v>
      </c>
      <c r="R84" s="59">
        <f>ROUND(N!S84/2,2)</f>
        <v>31.56</v>
      </c>
      <c r="S84" s="59">
        <f>ROUND(N!T84/2,2)</f>
        <v>30.12</v>
      </c>
      <c r="T84" s="59">
        <f>ROUND(N!U84/2,2)</f>
        <v>30.12</v>
      </c>
      <c r="V84" s="59">
        <f>ROUND(N!X84/2,2)</f>
        <v>30.12</v>
      </c>
    </row>
    <row r="85" spans="1:22" ht="15" thickBot="1">
      <c r="A85" s="54">
        <f>A84+1</f>
        <v>77</v>
      </c>
      <c r="C85" s="59">
        <f>ROUND(N!C85/2,2)</f>
        <v>41.98</v>
      </c>
      <c r="D85" s="59">
        <f>ROUND(N!D85/2,2)</f>
        <v>38.75</v>
      </c>
      <c r="E85" s="59">
        <f>ROUND(N!E85/2,2)</f>
        <v>36.909999999999997</v>
      </c>
      <c r="G85" s="59">
        <f>ROUND(N!G85/2,2)</f>
        <v>34.5</v>
      </c>
      <c r="H85" s="59">
        <f>ROUND(N!H85/2,2)</f>
        <v>30.93</v>
      </c>
      <c r="I85" s="59">
        <f>ROUND(N!I85/2,2)</f>
        <v>29.68</v>
      </c>
      <c r="J85" s="59">
        <f>ROUND(N!J85/2,2)</f>
        <v>28.43</v>
      </c>
      <c r="K85" s="59">
        <f>ROUND(N!K85/2,2)</f>
        <v>27.65</v>
      </c>
      <c r="L85" s="59">
        <f>ROUND(N!L85/2,2)</f>
        <v>27.65</v>
      </c>
      <c r="N85" s="59">
        <f>ROUND(N!O85/2,2)</f>
        <v>27.65</v>
      </c>
      <c r="P85" s="59">
        <f>ROUND(N!Q85/2,2)</f>
        <v>34.5</v>
      </c>
      <c r="Q85" s="59">
        <f>ROUND(N!R85/2,2)</f>
        <v>33.03</v>
      </c>
      <c r="R85" s="59">
        <f>ROUND(N!S85/2,2)</f>
        <v>31.56</v>
      </c>
      <c r="S85" s="59">
        <f>ROUND(N!T85/2,2)</f>
        <v>30.12</v>
      </c>
      <c r="T85" s="59">
        <f>ROUND(N!U85/2,2)</f>
        <v>30.12</v>
      </c>
      <c r="V85" s="59">
        <f>ROUND(N!X85/2,2)</f>
        <v>30.12</v>
      </c>
    </row>
    <row r="86" spans="1:22" ht="15" thickBot="1">
      <c r="A86" s="54">
        <f>A85+1</f>
        <v>78</v>
      </c>
      <c r="B86" s="486"/>
      <c r="C86" s="59">
        <f>ROUND(N!C86/2,2)</f>
        <v>42.44</v>
      </c>
      <c r="D86" s="59">
        <f>ROUND(N!D86/2,2)</f>
        <v>39.18</v>
      </c>
      <c r="E86" s="59">
        <f>ROUND(N!E86/2,2)</f>
        <v>36.909999999999997</v>
      </c>
      <c r="F86" s="486"/>
      <c r="G86" s="59">
        <f>ROUND(N!G86/2,2)</f>
        <v>34.5</v>
      </c>
      <c r="H86" s="59">
        <f>ROUND(N!H86/2,2)</f>
        <v>30.93</v>
      </c>
      <c r="I86" s="59">
        <f>ROUND(N!I86/2,2)</f>
        <v>29.68</v>
      </c>
      <c r="J86" s="59">
        <f>ROUND(N!J86/2,2)</f>
        <v>28.43</v>
      </c>
      <c r="K86" s="59">
        <f>ROUND(N!K86/2,2)</f>
        <v>27.65</v>
      </c>
      <c r="L86" s="59">
        <f>ROUND(N!L86/2,2)</f>
        <v>27.65</v>
      </c>
      <c r="M86" s="486"/>
      <c r="N86" s="59">
        <f>ROUND(N!O86/2,2)</f>
        <v>27.65</v>
      </c>
      <c r="O86" s="486"/>
      <c r="P86" s="59">
        <f>ROUND(N!Q86/2,2)</f>
        <v>34.5</v>
      </c>
      <c r="Q86" s="59">
        <f>ROUND(N!R86/2,2)</f>
        <v>33.03</v>
      </c>
      <c r="R86" s="59">
        <f>ROUND(N!S86/2,2)</f>
        <v>31.56</v>
      </c>
      <c r="S86" s="59">
        <f>ROUND(N!T86/2,2)</f>
        <v>30.12</v>
      </c>
      <c r="T86" s="59">
        <f>ROUND(N!U86/2,2)</f>
        <v>30.12</v>
      </c>
      <c r="U86" s="486"/>
      <c r="V86" s="59">
        <f>ROUND(N!X86/2,2)</f>
        <v>30.12</v>
      </c>
    </row>
    <row r="87" spans="1:22" ht="15" thickBot="1">
      <c r="A87" s="54">
        <f>A86+1</f>
        <v>79</v>
      </c>
      <c r="B87" s="512"/>
      <c r="C87" s="59">
        <f>ROUND(N!C87/2,2)</f>
        <v>42.91</v>
      </c>
      <c r="D87" s="59">
        <f>ROUND(N!D87/2,2)</f>
        <v>39.61</v>
      </c>
      <c r="E87" s="59">
        <f>ROUND(N!E87/2,2)</f>
        <v>36.909999999999997</v>
      </c>
      <c r="F87" s="512"/>
      <c r="G87" s="59">
        <f>ROUND(N!G87/2,2)</f>
        <v>34.5</v>
      </c>
      <c r="H87" s="59">
        <f>ROUND(N!H87/2,2)</f>
        <v>30.93</v>
      </c>
      <c r="I87" s="59">
        <f>ROUND(N!I87/2,2)</f>
        <v>29.68</v>
      </c>
      <c r="J87" s="59">
        <f>ROUND(N!J87/2,2)</f>
        <v>28.43</v>
      </c>
      <c r="K87" s="59">
        <f>ROUND(N!K87/2,2)</f>
        <v>27.65</v>
      </c>
      <c r="L87" s="59">
        <f>ROUND(N!L87/2,2)</f>
        <v>27.65</v>
      </c>
      <c r="M87" s="512"/>
      <c r="N87" s="59">
        <f>ROUND(N!O87/2,2)</f>
        <v>27.65</v>
      </c>
      <c r="O87" s="512"/>
      <c r="P87" s="59">
        <f>ROUND(N!Q87/2,2)</f>
        <v>34.5</v>
      </c>
      <c r="Q87" s="59">
        <f>ROUND(N!R87/2,2)</f>
        <v>33.03</v>
      </c>
      <c r="R87" s="59">
        <f>ROUND(N!S87/2,2)</f>
        <v>31.56</v>
      </c>
      <c r="S87" s="59">
        <f>ROUND(N!T87/2,2)</f>
        <v>30.12</v>
      </c>
      <c r="T87" s="59">
        <f>ROUND(N!U87/2,2)</f>
        <v>30.12</v>
      </c>
      <c r="U87" s="512"/>
      <c r="V87" s="59">
        <f>ROUND(N!X87/2,2)</f>
        <v>30.12</v>
      </c>
    </row>
  </sheetData>
  <sheetProtection algorithmName="SHA-512" hashValue="cBDgTxqYi3ZPsQ1WcqhBgmMsRFTJD9wPRM80Mr7qE6q+lQJkp9TU9bnTAVes6dY6h8kPiqtADUN1woKpDksTlg==" saltValue="8ctklpSKnwZ8DpEzN3jxMQ==" spinCount="100000" sheet="1" objects="1" scenarios="1"/>
  <mergeCells count="7">
    <mergeCell ref="C4:E4"/>
    <mergeCell ref="C3:E3"/>
    <mergeCell ref="C1:Q1"/>
    <mergeCell ref="C2:Q2"/>
    <mergeCell ref="G3:L3"/>
    <mergeCell ref="P3:T3"/>
    <mergeCell ref="H4:L4"/>
  </mergeCells>
  <conditionalFormatting sqref="D9:E87">
    <cfRule type="cellIs" dxfId="17" priority="24" operator="lessThan">
      <formula>D$8</formula>
    </cfRule>
  </conditionalFormatting>
  <conditionalFormatting sqref="D9:E87">
    <cfRule type="cellIs" dxfId="16" priority="16" operator="lessThan">
      <formula>D$8</formula>
    </cfRule>
  </conditionalFormatting>
  <conditionalFormatting sqref="C9:E87 G9:L87 P9:T87 N9:N87">
    <cfRule type="expression" dxfId="15" priority="12">
      <formula>MOD(INDIRECT(ADDRESS(ROW(),1)),5)=0</formula>
    </cfRule>
  </conditionalFormatting>
  <conditionalFormatting sqref="G69:G87">
    <cfRule type="cellIs" dxfId="14" priority="9" operator="lessThan">
      <formula>G$8</formula>
    </cfRule>
  </conditionalFormatting>
  <conditionalFormatting sqref="V9:V87">
    <cfRule type="expression" dxfId="13" priority="8">
      <formula>MOD(INDIRECT(ADDRESS(ROW(),1)),5)=0</formula>
    </cfRule>
  </conditionalFormatting>
  <conditionalFormatting sqref="H9:I87 K9:L87">
    <cfRule type="cellIs" dxfId="12" priority="7" operator="lessThan">
      <formula>H$8</formula>
    </cfRule>
  </conditionalFormatting>
  <conditionalFormatting sqref="H9:I87 K9:L87">
    <cfRule type="cellIs" dxfId="11" priority="6" operator="lessThan">
      <formula>H$8</formula>
    </cfRule>
  </conditionalFormatting>
  <conditionalFormatting sqref="N69:N87">
    <cfRule type="cellIs" dxfId="10" priority="4" operator="lessThan">
      <formula>N$8</formula>
    </cfRule>
  </conditionalFormatting>
  <pageMargins left="0.23622047244094491" right="0.23622047244094491" top="0.15748031496062992" bottom="0.31496062992125984" header="0.15748031496062992" footer="0.15748031496062992"/>
  <pageSetup paperSize="9" scale="73" orientation="landscape" r:id="rId1"/>
  <headerFooter>
    <oddFooter>&amp;L&amp;10Rijksdienst voor Arbeidsvoorziening&amp;R&amp;10Office national de l'Emploi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7"/>
  <sheetViews>
    <sheetView showGridLines="0" zoomScaleNormal="100"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5" max="15" width="0.6640625" customWidth="1"/>
    <col min="20" max="20" width="9.109375" customWidth="1"/>
    <col min="21" max="21" width="0.6640625" customWidth="1"/>
    <col min="22" max="22" width="9.109375" style="533"/>
    <col min="25" max="25" width="9.109375" customWidth="1"/>
    <col min="26" max="26" width="0.6640625" customWidth="1"/>
    <col min="27" max="27" width="9.109375" style="533"/>
    <col min="28" max="28" width="0.6640625" customWidth="1"/>
    <col min="36" max="36" width="9.109375" style="85"/>
  </cols>
  <sheetData>
    <row r="1" spans="1:36" ht="15" customHeight="1">
      <c r="A1" s="229" t="s">
        <v>33</v>
      </c>
      <c r="C1" s="600" t="s">
        <v>57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8" t="s">
        <v>34</v>
      </c>
      <c r="U1" s="608"/>
      <c r="V1" s="608"/>
      <c r="W1" s="541">
        <f>Basisbedragen!$H$2</f>
        <v>1.7410000000000001</v>
      </c>
      <c r="Y1" s="99"/>
      <c r="Z1" s="99"/>
      <c r="AA1" s="601"/>
      <c r="AB1" s="601"/>
      <c r="AC1" s="228"/>
      <c r="AD1" s="228"/>
      <c r="AF1" s="85"/>
      <c r="AJ1"/>
    </row>
    <row r="2" spans="1:36" ht="15.6">
      <c r="A2" s="492">
        <f>A!A2</f>
        <v>45689</v>
      </c>
      <c r="C2" s="600" t="s">
        <v>58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111"/>
      <c r="U2" s="45"/>
    </row>
    <row r="3" spans="1:36" ht="15" thickBot="1">
      <c r="A3" s="46"/>
      <c r="C3" s="597" t="s">
        <v>47</v>
      </c>
      <c r="D3" s="597"/>
      <c r="E3" s="597"/>
      <c r="F3" s="429"/>
      <c r="G3" s="597" t="s">
        <v>48</v>
      </c>
      <c r="H3" s="597"/>
      <c r="I3" s="597"/>
      <c r="J3" s="597"/>
      <c r="K3" s="597"/>
      <c r="L3" s="597"/>
      <c r="M3" s="429"/>
      <c r="N3" s="435" t="s">
        <v>37</v>
      </c>
      <c r="O3" s="435"/>
      <c r="P3" s="597" t="s">
        <v>50</v>
      </c>
      <c r="Q3" s="597"/>
      <c r="R3" s="597"/>
      <c r="S3" s="597"/>
      <c r="T3" s="597"/>
      <c r="U3" s="435"/>
      <c r="V3" s="534" t="s">
        <v>37</v>
      </c>
      <c r="AE3" s="85"/>
      <c r="AJ3"/>
    </row>
    <row r="4" spans="1:36" ht="26.25" customHeight="1" thickBot="1">
      <c r="A4" s="46"/>
      <c r="C4" s="597"/>
      <c r="D4" s="597"/>
      <c r="E4" s="597"/>
      <c r="F4" s="429"/>
      <c r="G4" s="429"/>
      <c r="H4" s="597"/>
      <c r="I4" s="597"/>
      <c r="J4" s="597"/>
      <c r="K4" s="597"/>
      <c r="L4" s="597"/>
      <c r="M4" s="429"/>
      <c r="N4" s="436" t="s">
        <v>49</v>
      </c>
      <c r="O4" s="435"/>
      <c r="P4" s="602" t="s">
        <v>38</v>
      </c>
      <c r="Q4" s="603"/>
      <c r="R4" s="603"/>
      <c r="S4" s="603"/>
      <c r="T4" s="604"/>
      <c r="U4" s="434"/>
      <c r="V4" s="535" t="s">
        <v>56</v>
      </c>
      <c r="AE4" s="85"/>
      <c r="AJ4"/>
    </row>
    <row r="5" spans="1:36" ht="41.4" thickBot="1">
      <c r="A5" s="100" t="s">
        <v>35</v>
      </c>
      <c r="C5" s="55" t="s">
        <v>12</v>
      </c>
      <c r="D5" s="56" t="s">
        <v>11</v>
      </c>
      <c r="E5" s="55" t="s">
        <v>13</v>
      </c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N5" s="56" t="s">
        <v>62</v>
      </c>
      <c r="P5" s="56" t="s">
        <v>267</v>
      </c>
      <c r="Q5" s="56" t="s">
        <v>39</v>
      </c>
      <c r="R5" s="56" t="s">
        <v>40</v>
      </c>
      <c r="S5" s="56" t="s">
        <v>41</v>
      </c>
      <c r="T5" s="56" t="s">
        <v>42</v>
      </c>
      <c r="V5" s="536" t="s">
        <v>63</v>
      </c>
      <c r="AE5" s="85"/>
      <c r="AJ5"/>
    </row>
    <row r="6" spans="1:36" ht="15" hidden="1" thickBot="1">
      <c r="A6" s="92"/>
      <c r="C6" s="95"/>
      <c r="D6" s="92"/>
      <c r="E6" s="92"/>
      <c r="H6" s="92"/>
      <c r="I6" s="92">
        <v>1</v>
      </c>
      <c r="J6" s="92">
        <v>2</v>
      </c>
      <c r="K6" s="92">
        <v>3</v>
      </c>
      <c r="L6" s="92">
        <v>4</v>
      </c>
      <c r="N6" s="92"/>
      <c r="P6" s="92"/>
      <c r="Q6" s="92">
        <v>1</v>
      </c>
      <c r="R6" s="92">
        <v>2</v>
      </c>
      <c r="S6" s="92">
        <v>3</v>
      </c>
      <c r="T6" s="92">
        <v>4</v>
      </c>
      <c r="V6" s="537"/>
      <c r="AE6" s="85"/>
      <c r="AJ6"/>
    </row>
    <row r="7" spans="1:36" s="82" customFormat="1" ht="15" thickBot="1">
      <c r="A7" s="93"/>
      <c r="B7"/>
      <c r="C7" s="96">
        <v>0.65</v>
      </c>
      <c r="D7" s="97">
        <v>0.6</v>
      </c>
      <c r="E7" s="97">
        <v>0.6</v>
      </c>
      <c r="F7"/>
      <c r="G7" s="97">
        <v>0.6</v>
      </c>
      <c r="H7" s="97">
        <v>0.4</v>
      </c>
      <c r="I7" s="93"/>
      <c r="J7" s="93"/>
      <c r="K7" s="93"/>
      <c r="L7" s="93"/>
      <c r="M7"/>
      <c r="N7" s="93"/>
      <c r="O7"/>
      <c r="P7" s="97">
        <v>0.55000000000000004</v>
      </c>
      <c r="Q7" s="93"/>
      <c r="R7" s="93"/>
      <c r="S7" s="93"/>
      <c r="T7" s="93"/>
      <c r="U7"/>
      <c r="V7" s="538"/>
      <c r="W7"/>
      <c r="AA7" s="542"/>
      <c r="AE7" s="89"/>
    </row>
    <row r="8" spans="1:36" s="87" customFormat="1" ht="15" thickBot="1">
      <c r="A8" s="94" t="s">
        <v>4</v>
      </c>
      <c r="B8"/>
      <c r="C8" s="98">
        <f>ROUND(B!C8/2,2)</f>
        <v>26.61</v>
      </c>
      <c r="D8" s="98">
        <f>ROUND(B!D8/2,2)</f>
        <v>24.57</v>
      </c>
      <c r="E8" s="98">
        <f>ROUND(B!E8/2,2)</f>
        <v>24.57</v>
      </c>
      <c r="F8"/>
      <c r="G8" s="98">
        <f>ROUND(B!G8/2,2)</f>
        <v>24.57</v>
      </c>
      <c r="H8" s="98">
        <f>ROUND(B!H8/2,2)</f>
        <v>20.36</v>
      </c>
      <c r="I8" s="98">
        <f>ROUND(B!I8/2,2)</f>
        <v>19.16</v>
      </c>
      <c r="J8" s="98">
        <f>ROUND(B!J8/2,2)</f>
        <v>17.96</v>
      </c>
      <c r="K8" s="98">
        <f>ROUND(B!K8/2,2)</f>
        <v>16.75</v>
      </c>
      <c r="L8" s="98">
        <f>ROUND(B!L8/2,2)</f>
        <v>15.55</v>
      </c>
      <c r="M8"/>
      <c r="N8" s="98"/>
      <c r="O8"/>
      <c r="P8" s="98">
        <f>ROUND(B!Q8/2,2)</f>
        <v>27.28</v>
      </c>
      <c r="Q8" s="98">
        <f>MIN(Q9:Q80)</f>
        <v>24.92</v>
      </c>
      <c r="R8" s="98">
        <f>MIN(R9:R80)</f>
        <v>22.57</v>
      </c>
      <c r="S8" s="98">
        <f>MIN(S9:S80)</f>
        <v>20.21</v>
      </c>
      <c r="T8" s="98">
        <f>MIN(T9:T80)</f>
        <v>17.86</v>
      </c>
      <c r="U8"/>
      <c r="V8" s="539"/>
      <c r="W8"/>
      <c r="AA8" s="543"/>
      <c r="AE8" s="90"/>
    </row>
    <row r="9" spans="1:36" ht="15" hidden="1" outlineLevel="1" thickBot="1">
      <c r="A9" s="54">
        <v>1</v>
      </c>
      <c r="C9" s="59">
        <f>ROUND(B!C9/2,2)</f>
        <v>26.61</v>
      </c>
      <c r="D9" s="59">
        <f>ROUND(B!D9/2,2)</f>
        <v>24.57</v>
      </c>
      <c r="E9" s="59">
        <f>ROUND(B!E9/2,2)</f>
        <v>24.57</v>
      </c>
      <c r="G9" s="59">
        <f>ROUND(B!G9/2,2)</f>
        <v>24.57</v>
      </c>
      <c r="H9" s="59">
        <f>ROUND(B!H9/2,2)</f>
        <v>20.36</v>
      </c>
      <c r="I9" s="59">
        <f>ROUND(B!I9/2,2)</f>
        <v>19.16</v>
      </c>
      <c r="J9" s="59">
        <f>ROUND(B!J9/2,2)</f>
        <v>17.96</v>
      </c>
      <c r="K9" s="59">
        <f>ROUND(B!K9/2,2)</f>
        <v>16.75</v>
      </c>
      <c r="L9" s="59">
        <f>ROUND(B!L9/2,2)</f>
        <v>15.55</v>
      </c>
      <c r="N9" s="59">
        <f>ROUND(B!O9/2,2)</f>
        <v>14.35</v>
      </c>
      <c r="P9" s="59">
        <f>ROUND(B!Q9/2,2)</f>
        <v>27.28</v>
      </c>
      <c r="Q9" s="59">
        <f>ROUND(B!R9/2,2)</f>
        <v>24.92</v>
      </c>
      <c r="R9" s="59">
        <f>ROUND(B!S9/2,2)</f>
        <v>22.57</v>
      </c>
      <c r="S9" s="59">
        <f>ROUND(B!T9/2,2)</f>
        <v>20.21</v>
      </c>
      <c r="T9" s="59">
        <f>ROUND(B!U9/2,2)</f>
        <v>17.86</v>
      </c>
      <c r="V9" s="540">
        <f>ROUND(B!X9/2,2)</f>
        <v>16.82</v>
      </c>
      <c r="AE9" s="85"/>
      <c r="AJ9"/>
    </row>
    <row r="10" spans="1:36" ht="15" hidden="1" outlineLevel="1" thickBot="1">
      <c r="A10" s="54">
        <f>A9+1</f>
        <v>2</v>
      </c>
      <c r="C10" s="59">
        <f>ROUND(B!C10/2,2)</f>
        <v>26.61</v>
      </c>
      <c r="D10" s="59">
        <f>ROUND(B!D10/2,2)</f>
        <v>24.57</v>
      </c>
      <c r="E10" s="59">
        <f>ROUND(B!E10/2,2)</f>
        <v>24.57</v>
      </c>
      <c r="G10" s="59">
        <f>ROUND(B!G10/2,2)</f>
        <v>24.57</v>
      </c>
      <c r="H10" s="59">
        <f>ROUND(B!H10/2,2)</f>
        <v>20.36</v>
      </c>
      <c r="I10" s="59">
        <f>ROUND(B!I10/2,2)</f>
        <v>19.16</v>
      </c>
      <c r="J10" s="59">
        <f>ROUND(B!J10/2,2)</f>
        <v>17.96</v>
      </c>
      <c r="K10" s="59">
        <f>ROUND(B!K10/2,2)</f>
        <v>16.75</v>
      </c>
      <c r="L10" s="59">
        <f>ROUND(B!L10/2,2)</f>
        <v>15.55</v>
      </c>
      <c r="N10" s="59">
        <f>ROUND(B!O10/2,2)</f>
        <v>14.35</v>
      </c>
      <c r="P10" s="59">
        <f>ROUND(B!Q10/2,2)</f>
        <v>27.28</v>
      </c>
      <c r="Q10" s="59">
        <f>ROUND(B!R10/2,2)</f>
        <v>24.92</v>
      </c>
      <c r="R10" s="59">
        <f>ROUND(B!S10/2,2)</f>
        <v>22.57</v>
      </c>
      <c r="S10" s="59">
        <f>ROUND(B!T10/2,2)</f>
        <v>20.21</v>
      </c>
      <c r="T10" s="59">
        <f>ROUND(B!U10/2,2)</f>
        <v>17.86</v>
      </c>
      <c r="V10" s="540">
        <f>ROUND(B!X10/2,2)</f>
        <v>16.82</v>
      </c>
      <c r="AE10" s="85"/>
      <c r="AJ10"/>
    </row>
    <row r="11" spans="1:36" ht="15" hidden="1" outlineLevel="1" thickBot="1">
      <c r="A11" s="54">
        <f t="shared" ref="A11:A74" si="0">A10+1</f>
        <v>3</v>
      </c>
      <c r="C11" s="59">
        <f>ROUND(B!C11/2,2)</f>
        <v>26.61</v>
      </c>
      <c r="D11" s="59">
        <f>ROUND(B!D11/2,2)</f>
        <v>24.57</v>
      </c>
      <c r="E11" s="59">
        <f>ROUND(B!E11/2,2)</f>
        <v>24.57</v>
      </c>
      <c r="G11" s="59">
        <f>ROUND(B!G11/2,2)</f>
        <v>24.57</v>
      </c>
      <c r="H11" s="59">
        <f>ROUND(B!H11/2,2)</f>
        <v>20.36</v>
      </c>
      <c r="I11" s="59">
        <f>ROUND(B!I11/2,2)</f>
        <v>19.16</v>
      </c>
      <c r="J11" s="59">
        <f>ROUND(B!J11/2,2)</f>
        <v>17.96</v>
      </c>
      <c r="K11" s="59">
        <f>ROUND(B!K11/2,2)</f>
        <v>16.75</v>
      </c>
      <c r="L11" s="59">
        <f>ROUND(B!L11/2,2)</f>
        <v>15.55</v>
      </c>
      <c r="N11" s="59">
        <f>ROUND(B!O11/2,2)</f>
        <v>14.35</v>
      </c>
      <c r="P11" s="59">
        <f>ROUND(B!Q11/2,2)</f>
        <v>27.28</v>
      </c>
      <c r="Q11" s="59">
        <f>ROUND(B!R11/2,2)</f>
        <v>24.92</v>
      </c>
      <c r="R11" s="59">
        <f>ROUND(B!S11/2,2)</f>
        <v>22.57</v>
      </c>
      <c r="S11" s="59">
        <f>ROUND(B!T11/2,2)</f>
        <v>20.21</v>
      </c>
      <c r="T11" s="59">
        <f>ROUND(B!U11/2,2)</f>
        <v>17.86</v>
      </c>
      <c r="V11" s="540">
        <f>ROUND(B!X11/2,2)</f>
        <v>16.82</v>
      </c>
      <c r="AE11" s="85"/>
      <c r="AJ11"/>
    </row>
    <row r="12" spans="1:36" ht="15" hidden="1" outlineLevel="1" thickBot="1">
      <c r="A12" s="54">
        <f t="shared" si="0"/>
        <v>4</v>
      </c>
      <c r="C12" s="59">
        <f>ROUND(B!C12/2,2)</f>
        <v>26.61</v>
      </c>
      <c r="D12" s="59">
        <f>ROUND(B!D12/2,2)</f>
        <v>24.57</v>
      </c>
      <c r="E12" s="59">
        <f>ROUND(B!E12/2,2)</f>
        <v>24.57</v>
      </c>
      <c r="G12" s="59">
        <f>ROUND(B!G12/2,2)</f>
        <v>24.57</v>
      </c>
      <c r="H12" s="59">
        <f>ROUND(B!H12/2,2)</f>
        <v>20.36</v>
      </c>
      <c r="I12" s="59">
        <f>ROUND(B!I12/2,2)</f>
        <v>19.16</v>
      </c>
      <c r="J12" s="59">
        <f>ROUND(B!J12/2,2)</f>
        <v>17.96</v>
      </c>
      <c r="K12" s="59">
        <f>ROUND(B!K12/2,2)</f>
        <v>16.75</v>
      </c>
      <c r="L12" s="59">
        <f>ROUND(B!L12/2,2)</f>
        <v>15.55</v>
      </c>
      <c r="N12" s="59">
        <f>ROUND(B!O12/2,2)</f>
        <v>14.35</v>
      </c>
      <c r="P12" s="59">
        <f>ROUND(B!Q12/2,2)</f>
        <v>27.28</v>
      </c>
      <c r="Q12" s="59">
        <f>ROUND(B!R12/2,2)</f>
        <v>24.92</v>
      </c>
      <c r="R12" s="59">
        <f>ROUND(B!S12/2,2)</f>
        <v>22.57</v>
      </c>
      <c r="S12" s="59">
        <f>ROUND(B!T12/2,2)</f>
        <v>20.21</v>
      </c>
      <c r="T12" s="59">
        <f>ROUND(B!U12/2,2)</f>
        <v>17.86</v>
      </c>
      <c r="V12" s="540">
        <f>ROUND(B!X12/2,2)</f>
        <v>16.82</v>
      </c>
      <c r="AE12" s="85"/>
      <c r="AJ12"/>
    </row>
    <row r="13" spans="1:36" ht="15" hidden="1" outlineLevel="1" thickBot="1">
      <c r="A13" s="54">
        <f t="shared" si="0"/>
        <v>5</v>
      </c>
      <c r="C13" s="59">
        <f>ROUND(B!C13/2,2)</f>
        <v>26.61</v>
      </c>
      <c r="D13" s="59">
        <f>ROUND(B!D13/2,2)</f>
        <v>24.57</v>
      </c>
      <c r="E13" s="59">
        <f>ROUND(B!E13/2,2)</f>
        <v>24.57</v>
      </c>
      <c r="G13" s="59">
        <f>ROUND(B!G13/2,2)</f>
        <v>24.57</v>
      </c>
      <c r="H13" s="59">
        <f>ROUND(B!H13/2,2)</f>
        <v>20.36</v>
      </c>
      <c r="I13" s="59">
        <f>ROUND(B!I13/2,2)</f>
        <v>19.16</v>
      </c>
      <c r="J13" s="59">
        <f>ROUND(B!J13/2,2)</f>
        <v>17.96</v>
      </c>
      <c r="K13" s="59">
        <f>ROUND(B!K13/2,2)</f>
        <v>16.75</v>
      </c>
      <c r="L13" s="59">
        <f>ROUND(B!L13/2,2)</f>
        <v>15.55</v>
      </c>
      <c r="N13" s="59">
        <f>ROUND(B!O13/2,2)</f>
        <v>14.35</v>
      </c>
      <c r="P13" s="59">
        <f>ROUND(B!Q13/2,2)</f>
        <v>27.28</v>
      </c>
      <c r="Q13" s="59">
        <f>ROUND(B!R13/2,2)</f>
        <v>24.92</v>
      </c>
      <c r="R13" s="59">
        <f>ROUND(B!S13/2,2)</f>
        <v>22.57</v>
      </c>
      <c r="S13" s="59">
        <f>ROUND(B!T13/2,2)</f>
        <v>20.21</v>
      </c>
      <c r="T13" s="59">
        <f>ROUND(B!U13/2,2)</f>
        <v>17.86</v>
      </c>
      <c r="V13" s="540">
        <f>ROUND(B!X13/2,2)</f>
        <v>16.82</v>
      </c>
      <c r="AE13" s="85"/>
      <c r="AJ13"/>
    </row>
    <row r="14" spans="1:36" ht="15" hidden="1" outlineLevel="1" thickBot="1">
      <c r="A14" s="54">
        <f t="shared" si="0"/>
        <v>6</v>
      </c>
      <c r="C14" s="59">
        <f>ROUND(B!C14/2,2)</f>
        <v>26.61</v>
      </c>
      <c r="D14" s="59">
        <f>ROUND(B!D14/2,2)</f>
        <v>24.57</v>
      </c>
      <c r="E14" s="59">
        <f>ROUND(B!E14/2,2)</f>
        <v>24.57</v>
      </c>
      <c r="G14" s="59">
        <f>ROUND(B!G14/2,2)</f>
        <v>24.57</v>
      </c>
      <c r="H14" s="59">
        <f>ROUND(B!H14/2,2)</f>
        <v>20.36</v>
      </c>
      <c r="I14" s="59">
        <f>ROUND(B!I14/2,2)</f>
        <v>19.16</v>
      </c>
      <c r="J14" s="59">
        <f>ROUND(B!J14/2,2)</f>
        <v>17.96</v>
      </c>
      <c r="K14" s="59">
        <f>ROUND(B!K14/2,2)</f>
        <v>16.75</v>
      </c>
      <c r="L14" s="59">
        <f>ROUND(B!L14/2,2)</f>
        <v>15.55</v>
      </c>
      <c r="N14" s="59">
        <f>ROUND(B!O14/2,2)</f>
        <v>14.35</v>
      </c>
      <c r="P14" s="59">
        <f>ROUND(B!Q14/2,2)</f>
        <v>27.28</v>
      </c>
      <c r="Q14" s="59">
        <f>ROUND(B!R14/2,2)</f>
        <v>24.92</v>
      </c>
      <c r="R14" s="59">
        <f>ROUND(B!S14/2,2)</f>
        <v>22.57</v>
      </c>
      <c r="S14" s="59">
        <f>ROUND(B!T14/2,2)</f>
        <v>20.21</v>
      </c>
      <c r="T14" s="59">
        <f>ROUND(B!U14/2,2)</f>
        <v>17.86</v>
      </c>
      <c r="V14" s="540">
        <f>ROUND(B!X14/2,2)</f>
        <v>16.82</v>
      </c>
      <c r="AE14" s="85"/>
      <c r="AJ14"/>
    </row>
    <row r="15" spans="1:36" ht="15" hidden="1" outlineLevel="1" thickBot="1">
      <c r="A15" s="54">
        <f t="shared" si="0"/>
        <v>7</v>
      </c>
      <c r="C15" s="59">
        <f>ROUND(B!C15/2,2)</f>
        <v>26.61</v>
      </c>
      <c r="D15" s="59">
        <f>ROUND(B!D15/2,2)</f>
        <v>24.57</v>
      </c>
      <c r="E15" s="59">
        <f>ROUND(B!E15/2,2)</f>
        <v>24.57</v>
      </c>
      <c r="G15" s="59">
        <f>ROUND(B!G15/2,2)</f>
        <v>24.57</v>
      </c>
      <c r="H15" s="59">
        <f>ROUND(B!H15/2,2)</f>
        <v>20.36</v>
      </c>
      <c r="I15" s="59">
        <f>ROUND(B!I15/2,2)</f>
        <v>19.16</v>
      </c>
      <c r="J15" s="59">
        <f>ROUND(B!J15/2,2)</f>
        <v>17.96</v>
      </c>
      <c r="K15" s="59">
        <f>ROUND(B!K15/2,2)</f>
        <v>16.75</v>
      </c>
      <c r="L15" s="59">
        <f>ROUND(B!L15/2,2)</f>
        <v>15.55</v>
      </c>
      <c r="N15" s="59">
        <f>ROUND(B!O15/2,2)</f>
        <v>14.35</v>
      </c>
      <c r="P15" s="59">
        <f>ROUND(B!Q15/2,2)</f>
        <v>27.28</v>
      </c>
      <c r="Q15" s="59">
        <f>ROUND(B!R15/2,2)</f>
        <v>24.92</v>
      </c>
      <c r="R15" s="59">
        <f>ROUND(B!S15/2,2)</f>
        <v>22.57</v>
      </c>
      <c r="S15" s="59">
        <f>ROUND(B!T15/2,2)</f>
        <v>20.21</v>
      </c>
      <c r="T15" s="59">
        <f>ROUND(B!U15/2,2)</f>
        <v>17.86</v>
      </c>
      <c r="V15" s="540">
        <f>ROUND(B!X15/2,2)</f>
        <v>16.82</v>
      </c>
      <c r="AE15" s="85"/>
      <c r="AJ15"/>
    </row>
    <row r="16" spans="1:36" ht="15" hidden="1" outlineLevel="1" thickBot="1">
      <c r="A16" s="54">
        <f t="shared" si="0"/>
        <v>8</v>
      </c>
      <c r="C16" s="59">
        <f>ROUND(B!C16/2,2)</f>
        <v>26.61</v>
      </c>
      <c r="D16" s="59">
        <f>ROUND(B!D16/2,2)</f>
        <v>24.57</v>
      </c>
      <c r="E16" s="59">
        <f>ROUND(B!E16/2,2)</f>
        <v>24.57</v>
      </c>
      <c r="G16" s="59">
        <f>ROUND(B!G16/2,2)</f>
        <v>24.57</v>
      </c>
      <c r="H16" s="59">
        <f>ROUND(B!H16/2,2)</f>
        <v>20.36</v>
      </c>
      <c r="I16" s="59">
        <f>ROUND(B!I16/2,2)</f>
        <v>19.16</v>
      </c>
      <c r="J16" s="59">
        <f>ROUND(B!J16/2,2)</f>
        <v>17.96</v>
      </c>
      <c r="K16" s="59">
        <f>ROUND(B!K16/2,2)</f>
        <v>16.75</v>
      </c>
      <c r="L16" s="59">
        <f>ROUND(B!L16/2,2)</f>
        <v>15.55</v>
      </c>
      <c r="N16" s="59">
        <f>ROUND(B!O16/2,2)</f>
        <v>14.35</v>
      </c>
      <c r="P16" s="59">
        <f>ROUND(B!Q16/2,2)</f>
        <v>27.28</v>
      </c>
      <c r="Q16" s="59">
        <f>ROUND(B!R16/2,2)</f>
        <v>24.92</v>
      </c>
      <c r="R16" s="59">
        <f>ROUND(B!S16/2,2)</f>
        <v>22.57</v>
      </c>
      <c r="S16" s="59">
        <f>ROUND(B!T16/2,2)</f>
        <v>20.21</v>
      </c>
      <c r="T16" s="59">
        <f>ROUND(B!U16/2,2)</f>
        <v>17.86</v>
      </c>
      <c r="V16" s="540">
        <f>ROUND(B!X16/2,2)</f>
        <v>16.82</v>
      </c>
      <c r="AE16" s="85"/>
      <c r="AJ16"/>
    </row>
    <row r="17" spans="1:36" ht="15" hidden="1" outlineLevel="1" thickBot="1">
      <c r="A17" s="54">
        <f t="shared" si="0"/>
        <v>9</v>
      </c>
      <c r="C17" s="59">
        <f>ROUND(B!C17/2,2)</f>
        <v>26.61</v>
      </c>
      <c r="D17" s="59">
        <f>ROUND(B!D17/2,2)</f>
        <v>24.57</v>
      </c>
      <c r="E17" s="59">
        <f>ROUND(B!E17/2,2)</f>
        <v>24.57</v>
      </c>
      <c r="G17" s="59">
        <f>ROUND(B!G17/2,2)</f>
        <v>24.57</v>
      </c>
      <c r="H17" s="59">
        <f>ROUND(B!H17/2,2)</f>
        <v>20.36</v>
      </c>
      <c r="I17" s="59">
        <f>ROUND(B!I17/2,2)</f>
        <v>19.16</v>
      </c>
      <c r="J17" s="59">
        <f>ROUND(B!J17/2,2)</f>
        <v>17.96</v>
      </c>
      <c r="K17" s="59">
        <f>ROUND(B!K17/2,2)</f>
        <v>16.75</v>
      </c>
      <c r="L17" s="59">
        <f>ROUND(B!L17/2,2)</f>
        <v>15.55</v>
      </c>
      <c r="N17" s="59">
        <f>ROUND(B!O17/2,2)</f>
        <v>14.35</v>
      </c>
      <c r="P17" s="59">
        <f>ROUND(B!Q17/2,2)</f>
        <v>27.28</v>
      </c>
      <c r="Q17" s="59">
        <f>ROUND(B!R17/2,2)</f>
        <v>24.92</v>
      </c>
      <c r="R17" s="59">
        <f>ROUND(B!S17/2,2)</f>
        <v>22.57</v>
      </c>
      <c r="S17" s="59">
        <f>ROUND(B!T17/2,2)</f>
        <v>20.21</v>
      </c>
      <c r="T17" s="59">
        <f>ROUND(B!U17/2,2)</f>
        <v>17.86</v>
      </c>
      <c r="V17" s="540">
        <f>ROUND(B!X17/2,2)</f>
        <v>16.82</v>
      </c>
      <c r="AE17" s="85"/>
      <c r="AJ17"/>
    </row>
    <row r="18" spans="1:36" ht="15" hidden="1" outlineLevel="1" thickBot="1">
      <c r="A18" s="54">
        <f t="shared" si="0"/>
        <v>10</v>
      </c>
      <c r="C18" s="59">
        <f>ROUND(B!C18/2,2)</f>
        <v>26.61</v>
      </c>
      <c r="D18" s="59">
        <f>ROUND(B!D18/2,2)</f>
        <v>24.57</v>
      </c>
      <c r="E18" s="59">
        <f>ROUND(B!E18/2,2)</f>
        <v>24.57</v>
      </c>
      <c r="G18" s="59">
        <f>ROUND(B!G18/2,2)</f>
        <v>24.57</v>
      </c>
      <c r="H18" s="59">
        <f>ROUND(B!H18/2,2)</f>
        <v>20.36</v>
      </c>
      <c r="I18" s="59">
        <f>ROUND(B!I18/2,2)</f>
        <v>19.16</v>
      </c>
      <c r="J18" s="59">
        <f>ROUND(B!J18/2,2)</f>
        <v>17.96</v>
      </c>
      <c r="K18" s="59">
        <f>ROUND(B!K18/2,2)</f>
        <v>16.75</v>
      </c>
      <c r="L18" s="59">
        <f>ROUND(B!L18/2,2)</f>
        <v>15.55</v>
      </c>
      <c r="N18" s="59">
        <f>ROUND(B!O18/2,2)</f>
        <v>14.35</v>
      </c>
      <c r="P18" s="59">
        <f>ROUND(B!Q18/2,2)</f>
        <v>27.28</v>
      </c>
      <c r="Q18" s="59">
        <f>ROUND(B!R18/2,2)</f>
        <v>24.92</v>
      </c>
      <c r="R18" s="59">
        <f>ROUND(B!S18/2,2)</f>
        <v>22.57</v>
      </c>
      <c r="S18" s="59">
        <f>ROUND(B!T18/2,2)</f>
        <v>20.21</v>
      </c>
      <c r="T18" s="59">
        <f>ROUND(B!U18/2,2)</f>
        <v>17.86</v>
      </c>
      <c r="V18" s="540">
        <f>ROUND(B!X18/2,2)</f>
        <v>16.82</v>
      </c>
      <c r="AE18" s="85"/>
      <c r="AJ18"/>
    </row>
    <row r="19" spans="1:36" ht="15" hidden="1" outlineLevel="1" thickBot="1">
      <c r="A19" s="54">
        <f t="shared" si="0"/>
        <v>11</v>
      </c>
      <c r="C19" s="59">
        <f>ROUND(B!C19/2,2)</f>
        <v>26.61</v>
      </c>
      <c r="D19" s="59">
        <f>ROUND(B!D19/2,2)</f>
        <v>24.57</v>
      </c>
      <c r="E19" s="59">
        <f>ROUND(B!E19/2,2)</f>
        <v>24.57</v>
      </c>
      <c r="G19" s="59">
        <f>ROUND(B!G19/2,2)</f>
        <v>24.57</v>
      </c>
      <c r="H19" s="59">
        <f>ROUND(B!H19/2,2)</f>
        <v>20.36</v>
      </c>
      <c r="I19" s="59">
        <f>ROUND(B!I19/2,2)</f>
        <v>19.16</v>
      </c>
      <c r="J19" s="59">
        <f>ROUND(B!J19/2,2)</f>
        <v>17.96</v>
      </c>
      <c r="K19" s="59">
        <f>ROUND(B!K19/2,2)</f>
        <v>16.75</v>
      </c>
      <c r="L19" s="59">
        <f>ROUND(B!L19/2,2)</f>
        <v>15.55</v>
      </c>
      <c r="N19" s="59">
        <f>ROUND(B!O19/2,2)</f>
        <v>14.35</v>
      </c>
      <c r="P19" s="59">
        <f>ROUND(B!Q19/2,2)</f>
        <v>27.28</v>
      </c>
      <c r="Q19" s="59">
        <f>ROUND(B!R19/2,2)</f>
        <v>24.92</v>
      </c>
      <c r="R19" s="59">
        <f>ROUND(B!S19/2,2)</f>
        <v>22.57</v>
      </c>
      <c r="S19" s="59">
        <f>ROUND(B!T19/2,2)</f>
        <v>20.21</v>
      </c>
      <c r="T19" s="59">
        <f>ROUND(B!U19/2,2)</f>
        <v>17.86</v>
      </c>
      <c r="V19" s="540">
        <f>ROUND(B!X19/2,2)</f>
        <v>16.82</v>
      </c>
      <c r="AE19" s="85"/>
      <c r="AJ19"/>
    </row>
    <row r="20" spans="1:36" ht="15" hidden="1" outlineLevel="1" thickBot="1">
      <c r="A20" s="54">
        <f t="shared" si="0"/>
        <v>12</v>
      </c>
      <c r="C20" s="59">
        <f>ROUND(B!C20/2,2)</f>
        <v>26.61</v>
      </c>
      <c r="D20" s="59">
        <f>ROUND(B!D20/2,2)</f>
        <v>24.57</v>
      </c>
      <c r="E20" s="59">
        <f>ROUND(B!E20/2,2)</f>
        <v>24.57</v>
      </c>
      <c r="G20" s="59">
        <f>ROUND(B!G20/2,2)</f>
        <v>24.57</v>
      </c>
      <c r="H20" s="59">
        <f>ROUND(B!H20/2,2)</f>
        <v>20.36</v>
      </c>
      <c r="I20" s="59">
        <f>ROUND(B!I20/2,2)</f>
        <v>19.16</v>
      </c>
      <c r="J20" s="59">
        <f>ROUND(B!J20/2,2)</f>
        <v>17.96</v>
      </c>
      <c r="K20" s="59">
        <f>ROUND(B!K20/2,2)</f>
        <v>16.75</v>
      </c>
      <c r="L20" s="59">
        <f>ROUND(B!L20/2,2)</f>
        <v>15.55</v>
      </c>
      <c r="N20" s="59">
        <f>ROUND(B!O20/2,2)</f>
        <v>14.35</v>
      </c>
      <c r="P20" s="59">
        <f>ROUND(B!Q20/2,2)</f>
        <v>27.28</v>
      </c>
      <c r="Q20" s="59">
        <f>ROUND(B!R20/2,2)</f>
        <v>24.92</v>
      </c>
      <c r="R20" s="59">
        <f>ROUND(B!S20/2,2)</f>
        <v>22.57</v>
      </c>
      <c r="S20" s="59">
        <f>ROUND(B!T20/2,2)</f>
        <v>20.21</v>
      </c>
      <c r="T20" s="59">
        <f>ROUND(B!U20/2,2)</f>
        <v>17.86</v>
      </c>
      <c r="V20" s="540">
        <f>ROUND(B!X20/2,2)</f>
        <v>16.82</v>
      </c>
      <c r="AE20" s="85"/>
      <c r="AJ20"/>
    </row>
    <row r="21" spans="1:36" ht="15" hidden="1" outlineLevel="1" thickBot="1">
      <c r="A21" s="54">
        <f t="shared" si="0"/>
        <v>13</v>
      </c>
      <c r="C21" s="59">
        <f>ROUND(B!C21/2,2)</f>
        <v>26.61</v>
      </c>
      <c r="D21" s="59">
        <f>ROUND(B!D21/2,2)</f>
        <v>24.57</v>
      </c>
      <c r="E21" s="59">
        <f>ROUND(B!E21/2,2)</f>
        <v>24.57</v>
      </c>
      <c r="G21" s="59">
        <f>ROUND(B!G21/2,2)</f>
        <v>24.57</v>
      </c>
      <c r="H21" s="59">
        <f>ROUND(B!H21/2,2)</f>
        <v>20.36</v>
      </c>
      <c r="I21" s="59">
        <f>ROUND(B!I21/2,2)</f>
        <v>19.16</v>
      </c>
      <c r="J21" s="59">
        <f>ROUND(B!J21/2,2)</f>
        <v>17.96</v>
      </c>
      <c r="K21" s="59">
        <f>ROUND(B!K21/2,2)</f>
        <v>16.75</v>
      </c>
      <c r="L21" s="59">
        <f>ROUND(B!L21/2,2)</f>
        <v>15.55</v>
      </c>
      <c r="N21" s="59">
        <f>ROUND(B!O21/2,2)</f>
        <v>14.35</v>
      </c>
      <c r="P21" s="59">
        <f>ROUND(B!Q21/2,2)</f>
        <v>27.28</v>
      </c>
      <c r="Q21" s="59">
        <f>ROUND(B!R21/2,2)</f>
        <v>24.92</v>
      </c>
      <c r="R21" s="59">
        <f>ROUND(B!S21/2,2)</f>
        <v>22.57</v>
      </c>
      <c r="S21" s="59">
        <f>ROUND(B!T21/2,2)</f>
        <v>20.21</v>
      </c>
      <c r="T21" s="59">
        <f>ROUND(B!U21/2,2)</f>
        <v>17.86</v>
      </c>
      <c r="V21" s="540">
        <f>ROUND(B!X21/2,2)</f>
        <v>16.82</v>
      </c>
      <c r="AE21" s="85"/>
      <c r="AJ21"/>
    </row>
    <row r="22" spans="1:36" ht="15" hidden="1" outlineLevel="1" thickBot="1">
      <c r="A22" s="54">
        <f t="shared" si="0"/>
        <v>14</v>
      </c>
      <c r="C22" s="59">
        <f>ROUND(B!C22/2,2)</f>
        <v>26.61</v>
      </c>
      <c r="D22" s="59">
        <f>ROUND(B!D22/2,2)</f>
        <v>24.57</v>
      </c>
      <c r="E22" s="59">
        <f>ROUND(B!E22/2,2)</f>
        <v>24.57</v>
      </c>
      <c r="G22" s="59">
        <f>ROUND(B!G22/2,2)</f>
        <v>24.57</v>
      </c>
      <c r="H22" s="59">
        <f>ROUND(B!H22/2,2)</f>
        <v>20.36</v>
      </c>
      <c r="I22" s="59">
        <f>ROUND(B!I22/2,2)</f>
        <v>19.16</v>
      </c>
      <c r="J22" s="59">
        <f>ROUND(B!J22/2,2)</f>
        <v>17.96</v>
      </c>
      <c r="K22" s="59">
        <f>ROUND(B!K22/2,2)</f>
        <v>16.75</v>
      </c>
      <c r="L22" s="59">
        <f>ROUND(B!L22/2,2)</f>
        <v>15.55</v>
      </c>
      <c r="N22" s="59">
        <f>ROUND(B!O22/2,2)</f>
        <v>14.35</v>
      </c>
      <c r="P22" s="59">
        <f>ROUND(B!Q22/2,2)</f>
        <v>27.28</v>
      </c>
      <c r="Q22" s="59">
        <f>ROUND(B!R22/2,2)</f>
        <v>24.92</v>
      </c>
      <c r="R22" s="59">
        <f>ROUND(B!S22/2,2)</f>
        <v>22.57</v>
      </c>
      <c r="S22" s="59">
        <f>ROUND(B!T22/2,2)</f>
        <v>20.21</v>
      </c>
      <c r="T22" s="59">
        <f>ROUND(B!U22/2,2)</f>
        <v>17.86</v>
      </c>
      <c r="V22" s="540">
        <f>ROUND(B!X22/2,2)</f>
        <v>16.82</v>
      </c>
      <c r="AE22" s="85"/>
      <c r="AJ22"/>
    </row>
    <row r="23" spans="1:36" ht="15" hidden="1" outlineLevel="1" thickBot="1">
      <c r="A23" s="54">
        <f t="shared" si="0"/>
        <v>15</v>
      </c>
      <c r="C23" s="59">
        <f>ROUND(B!C23/2,2)</f>
        <v>26.61</v>
      </c>
      <c r="D23" s="59">
        <f>ROUND(B!D23/2,2)</f>
        <v>24.57</v>
      </c>
      <c r="E23" s="59">
        <f>ROUND(B!E23/2,2)</f>
        <v>24.57</v>
      </c>
      <c r="G23" s="59">
        <f>ROUND(B!G23/2,2)</f>
        <v>24.57</v>
      </c>
      <c r="H23" s="59">
        <f>ROUND(B!H23/2,2)</f>
        <v>20.36</v>
      </c>
      <c r="I23" s="59">
        <f>ROUND(B!I23/2,2)</f>
        <v>19.16</v>
      </c>
      <c r="J23" s="59">
        <f>ROUND(B!J23/2,2)</f>
        <v>17.96</v>
      </c>
      <c r="K23" s="59">
        <f>ROUND(B!K23/2,2)</f>
        <v>16.75</v>
      </c>
      <c r="L23" s="59">
        <f>ROUND(B!L23/2,2)</f>
        <v>15.55</v>
      </c>
      <c r="N23" s="59">
        <f>ROUND(B!O23/2,2)</f>
        <v>14.35</v>
      </c>
      <c r="P23" s="59">
        <f>ROUND(B!Q23/2,2)</f>
        <v>27.28</v>
      </c>
      <c r="Q23" s="59">
        <f>ROUND(B!R23/2,2)</f>
        <v>24.92</v>
      </c>
      <c r="R23" s="59">
        <f>ROUND(B!S23/2,2)</f>
        <v>22.57</v>
      </c>
      <c r="S23" s="59">
        <f>ROUND(B!T23/2,2)</f>
        <v>20.21</v>
      </c>
      <c r="T23" s="59">
        <f>ROUND(B!U23/2,2)</f>
        <v>17.86</v>
      </c>
      <c r="V23" s="540">
        <f>ROUND(B!X23/2,2)</f>
        <v>16.82</v>
      </c>
      <c r="AE23" s="85"/>
      <c r="AJ23"/>
    </row>
    <row r="24" spans="1:36" ht="15" hidden="1" outlineLevel="1" thickBot="1">
      <c r="A24" s="54">
        <f t="shared" si="0"/>
        <v>16</v>
      </c>
      <c r="C24" s="59">
        <f>ROUND(B!C24/2,2)</f>
        <v>26.61</v>
      </c>
      <c r="D24" s="59">
        <f>ROUND(B!D24/2,2)</f>
        <v>24.57</v>
      </c>
      <c r="E24" s="59">
        <f>ROUND(B!E24/2,2)</f>
        <v>24.57</v>
      </c>
      <c r="G24" s="59">
        <f>ROUND(B!G24/2,2)</f>
        <v>24.57</v>
      </c>
      <c r="H24" s="59">
        <f>ROUND(B!H24/2,2)</f>
        <v>20.36</v>
      </c>
      <c r="I24" s="59">
        <f>ROUND(B!I24/2,2)</f>
        <v>19.16</v>
      </c>
      <c r="J24" s="59">
        <f>ROUND(B!J24/2,2)</f>
        <v>17.96</v>
      </c>
      <c r="K24" s="59">
        <f>ROUND(B!K24/2,2)</f>
        <v>16.75</v>
      </c>
      <c r="L24" s="59">
        <f>ROUND(B!L24/2,2)</f>
        <v>15.55</v>
      </c>
      <c r="N24" s="59">
        <f>ROUND(B!O24/2,2)</f>
        <v>14.35</v>
      </c>
      <c r="P24" s="59">
        <f>ROUND(B!Q24/2,2)</f>
        <v>27.28</v>
      </c>
      <c r="Q24" s="59">
        <f>ROUND(B!R24/2,2)</f>
        <v>24.92</v>
      </c>
      <c r="R24" s="59">
        <f>ROUND(B!S24/2,2)</f>
        <v>22.57</v>
      </c>
      <c r="S24" s="59">
        <f>ROUND(B!T24/2,2)</f>
        <v>20.21</v>
      </c>
      <c r="T24" s="59">
        <f>ROUND(B!U24/2,2)</f>
        <v>17.86</v>
      </c>
      <c r="V24" s="540">
        <f>ROUND(B!X24/2,2)</f>
        <v>16.82</v>
      </c>
      <c r="AE24" s="85"/>
      <c r="AJ24"/>
    </row>
    <row r="25" spans="1:36" ht="15" hidden="1" outlineLevel="1" thickBot="1">
      <c r="A25" s="54">
        <f t="shared" si="0"/>
        <v>17</v>
      </c>
      <c r="C25" s="59">
        <f>ROUND(B!C25/2,2)</f>
        <v>26.61</v>
      </c>
      <c r="D25" s="59">
        <f>ROUND(B!D25/2,2)</f>
        <v>24.57</v>
      </c>
      <c r="E25" s="59">
        <f>ROUND(B!E25/2,2)</f>
        <v>24.57</v>
      </c>
      <c r="G25" s="59">
        <f>ROUND(B!G25/2,2)</f>
        <v>24.57</v>
      </c>
      <c r="H25" s="59">
        <f>ROUND(B!H25/2,2)</f>
        <v>20.36</v>
      </c>
      <c r="I25" s="59">
        <f>ROUND(B!I25/2,2)</f>
        <v>19.16</v>
      </c>
      <c r="J25" s="59">
        <f>ROUND(B!J25/2,2)</f>
        <v>17.96</v>
      </c>
      <c r="K25" s="59">
        <f>ROUND(B!K25/2,2)</f>
        <v>16.75</v>
      </c>
      <c r="L25" s="59">
        <f>ROUND(B!L25/2,2)</f>
        <v>15.55</v>
      </c>
      <c r="N25" s="59">
        <f>ROUND(B!O25/2,2)</f>
        <v>14.35</v>
      </c>
      <c r="P25" s="59">
        <f>ROUND(B!Q25/2,2)</f>
        <v>27.28</v>
      </c>
      <c r="Q25" s="59">
        <f>ROUND(B!R25/2,2)</f>
        <v>24.92</v>
      </c>
      <c r="R25" s="59">
        <f>ROUND(B!S25/2,2)</f>
        <v>22.57</v>
      </c>
      <c r="S25" s="59">
        <f>ROUND(B!T25/2,2)</f>
        <v>20.21</v>
      </c>
      <c r="T25" s="59">
        <f>ROUND(B!U25/2,2)</f>
        <v>17.86</v>
      </c>
      <c r="V25" s="540">
        <f>ROUND(B!X25/2,2)</f>
        <v>16.82</v>
      </c>
      <c r="AE25" s="85"/>
      <c r="AJ25"/>
    </row>
    <row r="26" spans="1:36" ht="15" hidden="1" outlineLevel="1" thickBot="1">
      <c r="A26" s="54">
        <f t="shared" si="0"/>
        <v>18</v>
      </c>
      <c r="C26" s="59">
        <f>ROUND(B!C26/2,2)</f>
        <v>26.61</v>
      </c>
      <c r="D26" s="59">
        <f>ROUND(B!D26/2,2)</f>
        <v>24.57</v>
      </c>
      <c r="E26" s="59">
        <f>ROUND(B!E26/2,2)</f>
        <v>24.57</v>
      </c>
      <c r="G26" s="59">
        <f>ROUND(B!G26/2,2)</f>
        <v>24.57</v>
      </c>
      <c r="H26" s="59">
        <f>ROUND(B!H26/2,2)</f>
        <v>20.36</v>
      </c>
      <c r="I26" s="59">
        <f>ROUND(B!I26/2,2)</f>
        <v>19.16</v>
      </c>
      <c r="J26" s="59">
        <f>ROUND(B!J26/2,2)</f>
        <v>17.96</v>
      </c>
      <c r="K26" s="59">
        <f>ROUND(B!K26/2,2)</f>
        <v>16.75</v>
      </c>
      <c r="L26" s="59">
        <f>ROUND(B!L26/2,2)</f>
        <v>15.55</v>
      </c>
      <c r="N26" s="59">
        <f>ROUND(B!O26/2,2)</f>
        <v>14.35</v>
      </c>
      <c r="P26" s="59">
        <f>ROUND(B!Q26/2,2)</f>
        <v>27.28</v>
      </c>
      <c r="Q26" s="59">
        <f>ROUND(B!R26/2,2)</f>
        <v>24.92</v>
      </c>
      <c r="R26" s="59">
        <f>ROUND(B!S26/2,2)</f>
        <v>22.57</v>
      </c>
      <c r="S26" s="59">
        <f>ROUND(B!T26/2,2)</f>
        <v>20.21</v>
      </c>
      <c r="T26" s="59">
        <f>ROUND(B!U26/2,2)</f>
        <v>17.86</v>
      </c>
      <c r="V26" s="540">
        <f>ROUND(B!X26/2,2)</f>
        <v>16.82</v>
      </c>
      <c r="AE26" s="85"/>
      <c r="AJ26"/>
    </row>
    <row r="27" spans="1:36" ht="15" hidden="1" outlineLevel="1" thickBot="1">
      <c r="A27" s="54">
        <f t="shared" si="0"/>
        <v>19</v>
      </c>
      <c r="C27" s="59">
        <f>ROUND(B!C27/2,2)</f>
        <v>26.61</v>
      </c>
      <c r="D27" s="59">
        <f>ROUND(B!D27/2,2)</f>
        <v>24.57</v>
      </c>
      <c r="E27" s="59">
        <f>ROUND(B!E27/2,2)</f>
        <v>24.57</v>
      </c>
      <c r="G27" s="59">
        <f>ROUND(B!G27/2,2)</f>
        <v>24.57</v>
      </c>
      <c r="H27" s="59">
        <f>ROUND(B!H27/2,2)</f>
        <v>20.36</v>
      </c>
      <c r="I27" s="59">
        <f>ROUND(B!I27/2,2)</f>
        <v>19.16</v>
      </c>
      <c r="J27" s="59">
        <f>ROUND(B!J27/2,2)</f>
        <v>17.96</v>
      </c>
      <c r="K27" s="59">
        <f>ROUND(B!K27/2,2)</f>
        <v>16.75</v>
      </c>
      <c r="L27" s="59">
        <f>ROUND(B!L27/2,2)</f>
        <v>15.55</v>
      </c>
      <c r="N27" s="59">
        <f>ROUND(B!O27/2,2)</f>
        <v>14.35</v>
      </c>
      <c r="P27" s="59">
        <f>ROUND(B!Q27/2,2)</f>
        <v>27.28</v>
      </c>
      <c r="Q27" s="59">
        <f>ROUND(B!R27/2,2)</f>
        <v>24.92</v>
      </c>
      <c r="R27" s="59">
        <f>ROUND(B!S27/2,2)</f>
        <v>22.57</v>
      </c>
      <c r="S27" s="59">
        <f>ROUND(B!T27/2,2)</f>
        <v>20.21</v>
      </c>
      <c r="T27" s="59">
        <f>ROUND(B!U27/2,2)</f>
        <v>17.86</v>
      </c>
      <c r="V27" s="540">
        <f>ROUND(B!X27/2,2)</f>
        <v>16.82</v>
      </c>
      <c r="AE27" s="85"/>
      <c r="AJ27"/>
    </row>
    <row r="28" spans="1:36" ht="15" hidden="1" outlineLevel="1" thickBot="1">
      <c r="A28" s="54">
        <f t="shared" si="0"/>
        <v>20</v>
      </c>
      <c r="C28" s="59">
        <f>ROUND(B!C28/2,2)</f>
        <v>26.61</v>
      </c>
      <c r="D28" s="59">
        <f>ROUND(B!D28/2,2)</f>
        <v>24.57</v>
      </c>
      <c r="E28" s="59">
        <f>ROUND(B!E28/2,2)</f>
        <v>24.57</v>
      </c>
      <c r="G28" s="59">
        <f>ROUND(B!G28/2,2)</f>
        <v>24.57</v>
      </c>
      <c r="H28" s="59">
        <f>ROUND(B!H28/2,2)</f>
        <v>20.36</v>
      </c>
      <c r="I28" s="59">
        <f>ROUND(B!I28/2,2)</f>
        <v>19.16</v>
      </c>
      <c r="J28" s="59">
        <f>ROUND(B!J28/2,2)</f>
        <v>17.96</v>
      </c>
      <c r="K28" s="59">
        <f>ROUND(B!K28/2,2)</f>
        <v>16.75</v>
      </c>
      <c r="L28" s="59">
        <f>ROUND(B!L28/2,2)</f>
        <v>15.55</v>
      </c>
      <c r="N28" s="59">
        <f>ROUND(B!O28/2,2)</f>
        <v>14.35</v>
      </c>
      <c r="P28" s="59">
        <f>ROUND(B!Q28/2,2)</f>
        <v>27.28</v>
      </c>
      <c r="Q28" s="59">
        <f>ROUND(B!R28/2,2)</f>
        <v>24.92</v>
      </c>
      <c r="R28" s="59">
        <f>ROUND(B!S28/2,2)</f>
        <v>22.57</v>
      </c>
      <c r="S28" s="59">
        <f>ROUND(B!T28/2,2)</f>
        <v>20.21</v>
      </c>
      <c r="T28" s="59">
        <f>ROUND(B!U28/2,2)</f>
        <v>17.86</v>
      </c>
      <c r="V28" s="540">
        <f>ROUND(B!X28/2,2)</f>
        <v>16.82</v>
      </c>
      <c r="AE28" s="85"/>
      <c r="AJ28"/>
    </row>
    <row r="29" spans="1:36" ht="15" hidden="1" outlineLevel="1" thickBot="1">
      <c r="A29" s="54">
        <f t="shared" si="0"/>
        <v>21</v>
      </c>
      <c r="C29" s="59">
        <f>ROUND(B!C29/2,2)</f>
        <v>26.61</v>
      </c>
      <c r="D29" s="59">
        <f>ROUND(B!D29/2,2)</f>
        <v>24.57</v>
      </c>
      <c r="E29" s="59">
        <f>ROUND(B!E29/2,2)</f>
        <v>24.57</v>
      </c>
      <c r="G29" s="59">
        <f>ROUND(B!G29/2,2)</f>
        <v>24.57</v>
      </c>
      <c r="H29" s="59">
        <f>ROUND(B!H29/2,2)</f>
        <v>20.36</v>
      </c>
      <c r="I29" s="59">
        <f>ROUND(B!I29/2,2)</f>
        <v>19.16</v>
      </c>
      <c r="J29" s="59">
        <f>ROUND(B!J29/2,2)</f>
        <v>17.96</v>
      </c>
      <c r="K29" s="59">
        <f>ROUND(B!K29/2,2)</f>
        <v>16.75</v>
      </c>
      <c r="L29" s="59">
        <f>ROUND(B!L29/2,2)</f>
        <v>15.55</v>
      </c>
      <c r="N29" s="59">
        <f>ROUND(B!O29/2,2)</f>
        <v>14.35</v>
      </c>
      <c r="P29" s="59">
        <f>ROUND(B!Q29/2,2)</f>
        <v>27.28</v>
      </c>
      <c r="Q29" s="59">
        <f>ROUND(B!R29/2,2)</f>
        <v>24.92</v>
      </c>
      <c r="R29" s="59">
        <f>ROUND(B!S29/2,2)</f>
        <v>22.57</v>
      </c>
      <c r="S29" s="59">
        <f>ROUND(B!T29/2,2)</f>
        <v>20.21</v>
      </c>
      <c r="T29" s="59">
        <f>ROUND(B!U29/2,2)</f>
        <v>17.86</v>
      </c>
      <c r="V29" s="540">
        <f>ROUND(B!X29/2,2)</f>
        <v>16.82</v>
      </c>
      <c r="AE29" s="85"/>
      <c r="AJ29"/>
    </row>
    <row r="30" spans="1:36" ht="15" hidden="1" outlineLevel="1" thickBot="1">
      <c r="A30" s="54">
        <f t="shared" si="0"/>
        <v>22</v>
      </c>
      <c r="C30" s="59">
        <f>ROUND(B!C30/2,2)</f>
        <v>26.61</v>
      </c>
      <c r="D30" s="59">
        <f>ROUND(B!D30/2,2)</f>
        <v>24.57</v>
      </c>
      <c r="E30" s="59">
        <f>ROUND(B!E30/2,2)</f>
        <v>24.57</v>
      </c>
      <c r="G30" s="59">
        <f>ROUND(B!G30/2,2)</f>
        <v>24.57</v>
      </c>
      <c r="H30" s="59">
        <f>ROUND(B!H30/2,2)</f>
        <v>20.36</v>
      </c>
      <c r="I30" s="59">
        <f>ROUND(B!I30/2,2)</f>
        <v>19.16</v>
      </c>
      <c r="J30" s="59">
        <f>ROUND(B!J30/2,2)</f>
        <v>17.96</v>
      </c>
      <c r="K30" s="59">
        <f>ROUND(B!K30/2,2)</f>
        <v>16.75</v>
      </c>
      <c r="L30" s="59">
        <f>ROUND(B!L30/2,2)</f>
        <v>15.55</v>
      </c>
      <c r="N30" s="59">
        <f>ROUND(B!O30/2,2)</f>
        <v>14.35</v>
      </c>
      <c r="P30" s="59">
        <f>ROUND(B!Q30/2,2)</f>
        <v>27.28</v>
      </c>
      <c r="Q30" s="59">
        <f>ROUND(B!R30/2,2)</f>
        <v>24.92</v>
      </c>
      <c r="R30" s="59">
        <f>ROUND(B!S30/2,2)</f>
        <v>22.57</v>
      </c>
      <c r="S30" s="59">
        <f>ROUND(B!T30/2,2)</f>
        <v>20.21</v>
      </c>
      <c r="T30" s="59">
        <f>ROUND(B!U30/2,2)</f>
        <v>17.86</v>
      </c>
      <c r="V30" s="540">
        <f>ROUND(B!X30/2,2)</f>
        <v>16.82</v>
      </c>
      <c r="AE30" s="85"/>
      <c r="AJ30"/>
    </row>
    <row r="31" spans="1:36" ht="15" hidden="1" outlineLevel="1" thickBot="1">
      <c r="A31" s="54">
        <f t="shared" si="0"/>
        <v>23</v>
      </c>
      <c r="C31" s="59">
        <f>ROUND(B!C31/2,2)</f>
        <v>26.61</v>
      </c>
      <c r="D31" s="59">
        <f>ROUND(B!D31/2,2)</f>
        <v>24.57</v>
      </c>
      <c r="E31" s="59">
        <f>ROUND(B!E31/2,2)</f>
        <v>24.57</v>
      </c>
      <c r="G31" s="59">
        <f>ROUND(B!G31/2,2)</f>
        <v>24.57</v>
      </c>
      <c r="H31" s="59">
        <f>ROUND(B!H31/2,2)</f>
        <v>20.36</v>
      </c>
      <c r="I31" s="59">
        <f>ROUND(B!I31/2,2)</f>
        <v>19.16</v>
      </c>
      <c r="J31" s="59">
        <f>ROUND(B!J31/2,2)</f>
        <v>17.96</v>
      </c>
      <c r="K31" s="59">
        <f>ROUND(B!K31/2,2)</f>
        <v>16.75</v>
      </c>
      <c r="L31" s="59">
        <f>ROUND(B!L31/2,2)</f>
        <v>15.55</v>
      </c>
      <c r="N31" s="59">
        <f>ROUND(B!O31/2,2)</f>
        <v>14.35</v>
      </c>
      <c r="P31" s="59">
        <f>ROUND(B!Q31/2,2)</f>
        <v>27.28</v>
      </c>
      <c r="Q31" s="59">
        <f>ROUND(B!R31/2,2)</f>
        <v>24.92</v>
      </c>
      <c r="R31" s="59">
        <f>ROUND(B!S31/2,2)</f>
        <v>22.57</v>
      </c>
      <c r="S31" s="59">
        <f>ROUND(B!T31/2,2)</f>
        <v>20.21</v>
      </c>
      <c r="T31" s="59">
        <f>ROUND(B!U31/2,2)</f>
        <v>17.86</v>
      </c>
      <c r="V31" s="540">
        <f>ROUND(B!X31/2,2)</f>
        <v>16.82</v>
      </c>
      <c r="AE31" s="85"/>
      <c r="AJ31"/>
    </row>
    <row r="32" spans="1:36" ht="15" hidden="1" outlineLevel="1" thickBot="1">
      <c r="A32" s="54">
        <f t="shared" si="0"/>
        <v>24</v>
      </c>
      <c r="C32" s="59">
        <f>ROUND(B!C32/2,2)</f>
        <v>26.61</v>
      </c>
      <c r="D32" s="59">
        <f>ROUND(B!D32/2,2)</f>
        <v>24.57</v>
      </c>
      <c r="E32" s="59">
        <f>ROUND(B!E32/2,2)</f>
        <v>24.57</v>
      </c>
      <c r="G32" s="59">
        <f>ROUND(B!G32/2,2)</f>
        <v>24.57</v>
      </c>
      <c r="H32" s="59">
        <f>ROUND(B!H32/2,2)</f>
        <v>20.36</v>
      </c>
      <c r="I32" s="59">
        <f>ROUND(B!I32/2,2)</f>
        <v>19.16</v>
      </c>
      <c r="J32" s="59">
        <f>ROUND(B!J32/2,2)</f>
        <v>17.96</v>
      </c>
      <c r="K32" s="59">
        <f>ROUND(B!K32/2,2)</f>
        <v>16.75</v>
      </c>
      <c r="L32" s="59">
        <f>ROUND(B!L32/2,2)</f>
        <v>15.55</v>
      </c>
      <c r="N32" s="59">
        <f>ROUND(B!O32/2,2)</f>
        <v>14.35</v>
      </c>
      <c r="P32" s="59">
        <f>ROUND(B!Q32/2,2)</f>
        <v>27.28</v>
      </c>
      <c r="Q32" s="59">
        <f>ROUND(B!R32/2,2)</f>
        <v>24.92</v>
      </c>
      <c r="R32" s="59">
        <f>ROUND(B!S32/2,2)</f>
        <v>22.57</v>
      </c>
      <c r="S32" s="59">
        <f>ROUND(B!T32/2,2)</f>
        <v>20.21</v>
      </c>
      <c r="T32" s="59">
        <f>ROUND(B!U32/2,2)</f>
        <v>17.86</v>
      </c>
      <c r="V32" s="540">
        <f>ROUND(B!X32/2,2)</f>
        <v>16.82</v>
      </c>
      <c r="AE32" s="85"/>
      <c r="AJ32"/>
    </row>
    <row r="33" spans="1:36" ht="15" hidden="1" outlineLevel="1" thickBot="1">
      <c r="A33" s="54">
        <f t="shared" si="0"/>
        <v>25</v>
      </c>
      <c r="C33" s="59">
        <f>ROUND(B!C33/2,2)</f>
        <v>26.61</v>
      </c>
      <c r="D33" s="59">
        <f>ROUND(B!D33/2,2)</f>
        <v>24.57</v>
      </c>
      <c r="E33" s="59">
        <f>ROUND(B!E33/2,2)</f>
        <v>24.57</v>
      </c>
      <c r="G33" s="59">
        <f>ROUND(B!G33/2,2)</f>
        <v>24.57</v>
      </c>
      <c r="H33" s="59">
        <f>ROUND(B!H33/2,2)</f>
        <v>20.36</v>
      </c>
      <c r="I33" s="59">
        <f>ROUND(B!I33/2,2)</f>
        <v>19.16</v>
      </c>
      <c r="J33" s="59">
        <f>ROUND(B!J33/2,2)</f>
        <v>17.96</v>
      </c>
      <c r="K33" s="59">
        <f>ROUND(B!K33/2,2)</f>
        <v>16.75</v>
      </c>
      <c r="L33" s="59">
        <f>ROUND(B!L33/2,2)</f>
        <v>15.55</v>
      </c>
      <c r="N33" s="59">
        <f>ROUND(B!O33/2,2)</f>
        <v>14.35</v>
      </c>
      <c r="P33" s="59">
        <f>ROUND(B!Q33/2,2)</f>
        <v>27.28</v>
      </c>
      <c r="Q33" s="59">
        <f>ROUND(B!R33/2,2)</f>
        <v>24.92</v>
      </c>
      <c r="R33" s="59">
        <f>ROUND(B!S33/2,2)</f>
        <v>22.57</v>
      </c>
      <c r="S33" s="59">
        <f>ROUND(B!T33/2,2)</f>
        <v>20.21</v>
      </c>
      <c r="T33" s="59">
        <f>ROUND(B!U33/2,2)</f>
        <v>17.86</v>
      </c>
      <c r="V33" s="540">
        <f>ROUND(B!X33/2,2)</f>
        <v>16.82</v>
      </c>
      <c r="AE33" s="85"/>
      <c r="AJ33"/>
    </row>
    <row r="34" spans="1:36" ht="15" hidden="1" outlineLevel="1" thickBot="1">
      <c r="A34" s="54">
        <f t="shared" si="0"/>
        <v>26</v>
      </c>
      <c r="C34" s="59">
        <f>ROUND(B!C34/2,2)</f>
        <v>26.61</v>
      </c>
      <c r="D34" s="59">
        <f>ROUND(B!D34/2,2)</f>
        <v>24.57</v>
      </c>
      <c r="E34" s="59">
        <f>ROUND(B!E34/2,2)</f>
        <v>24.57</v>
      </c>
      <c r="G34" s="59">
        <f>ROUND(B!G34/2,2)</f>
        <v>24.57</v>
      </c>
      <c r="H34" s="59">
        <f>ROUND(B!H34/2,2)</f>
        <v>20.36</v>
      </c>
      <c r="I34" s="59">
        <f>ROUND(B!I34/2,2)</f>
        <v>19.16</v>
      </c>
      <c r="J34" s="59">
        <f>ROUND(B!J34/2,2)</f>
        <v>17.96</v>
      </c>
      <c r="K34" s="59">
        <f>ROUND(B!K34/2,2)</f>
        <v>16.75</v>
      </c>
      <c r="L34" s="59">
        <f>ROUND(B!L34/2,2)</f>
        <v>15.55</v>
      </c>
      <c r="N34" s="59">
        <f>ROUND(B!O34/2,2)</f>
        <v>14.35</v>
      </c>
      <c r="P34" s="59">
        <f>ROUND(B!Q34/2,2)</f>
        <v>27.28</v>
      </c>
      <c r="Q34" s="59">
        <f>ROUND(B!R34/2,2)</f>
        <v>24.92</v>
      </c>
      <c r="R34" s="59">
        <f>ROUND(B!S34/2,2)</f>
        <v>22.57</v>
      </c>
      <c r="S34" s="59">
        <f>ROUND(B!T34/2,2)</f>
        <v>20.21</v>
      </c>
      <c r="T34" s="59">
        <f>ROUND(B!U34/2,2)</f>
        <v>17.86</v>
      </c>
      <c r="V34" s="540">
        <f>ROUND(B!X34/2,2)</f>
        <v>16.82</v>
      </c>
      <c r="AE34" s="85"/>
      <c r="AJ34"/>
    </row>
    <row r="35" spans="1:36" ht="15" hidden="1" outlineLevel="1" thickBot="1">
      <c r="A35" s="54">
        <f t="shared" si="0"/>
        <v>27</v>
      </c>
      <c r="C35" s="59">
        <f>ROUND(B!C35/2,2)</f>
        <v>26.61</v>
      </c>
      <c r="D35" s="59">
        <f>ROUND(B!D35/2,2)</f>
        <v>24.57</v>
      </c>
      <c r="E35" s="59">
        <f>ROUND(B!E35/2,2)</f>
        <v>24.57</v>
      </c>
      <c r="G35" s="59">
        <f>ROUND(B!G35/2,2)</f>
        <v>24.57</v>
      </c>
      <c r="H35" s="59">
        <f>ROUND(B!H35/2,2)</f>
        <v>20.36</v>
      </c>
      <c r="I35" s="59">
        <f>ROUND(B!I35/2,2)</f>
        <v>19.16</v>
      </c>
      <c r="J35" s="59">
        <f>ROUND(B!J35/2,2)</f>
        <v>17.96</v>
      </c>
      <c r="K35" s="59">
        <f>ROUND(B!K35/2,2)</f>
        <v>16.75</v>
      </c>
      <c r="L35" s="59">
        <f>ROUND(B!L35/2,2)</f>
        <v>15.55</v>
      </c>
      <c r="N35" s="59">
        <f>ROUND(B!O35/2,2)</f>
        <v>14.35</v>
      </c>
      <c r="P35" s="59">
        <f>ROUND(B!Q35/2,2)</f>
        <v>27.28</v>
      </c>
      <c r="Q35" s="59">
        <f>ROUND(B!R35/2,2)</f>
        <v>24.92</v>
      </c>
      <c r="R35" s="59">
        <f>ROUND(B!S35/2,2)</f>
        <v>22.57</v>
      </c>
      <c r="S35" s="59">
        <f>ROUND(B!T35/2,2)</f>
        <v>20.21</v>
      </c>
      <c r="T35" s="59">
        <f>ROUND(B!U35/2,2)</f>
        <v>17.86</v>
      </c>
      <c r="V35" s="540">
        <f>ROUND(B!X35/2,2)</f>
        <v>16.82</v>
      </c>
      <c r="AE35" s="85"/>
      <c r="AJ35"/>
    </row>
    <row r="36" spans="1:36" ht="15" hidden="1" outlineLevel="1" thickBot="1">
      <c r="A36" s="54">
        <f t="shared" si="0"/>
        <v>28</v>
      </c>
      <c r="C36" s="59">
        <f>ROUND(B!C36/2,2)</f>
        <v>26.61</v>
      </c>
      <c r="D36" s="59">
        <f>ROUND(B!D36/2,2)</f>
        <v>24.57</v>
      </c>
      <c r="E36" s="59">
        <f>ROUND(B!E36/2,2)</f>
        <v>24.57</v>
      </c>
      <c r="G36" s="59">
        <f>ROUND(B!G36/2,2)</f>
        <v>24.57</v>
      </c>
      <c r="H36" s="59">
        <f>ROUND(B!H36/2,2)</f>
        <v>20.36</v>
      </c>
      <c r="I36" s="59">
        <f>ROUND(B!I36/2,2)</f>
        <v>19.16</v>
      </c>
      <c r="J36" s="59">
        <f>ROUND(B!J36/2,2)</f>
        <v>17.96</v>
      </c>
      <c r="K36" s="59">
        <f>ROUND(B!K36/2,2)</f>
        <v>16.75</v>
      </c>
      <c r="L36" s="59">
        <f>ROUND(B!L36/2,2)</f>
        <v>15.55</v>
      </c>
      <c r="N36" s="59">
        <f>ROUND(B!O36/2,2)</f>
        <v>14.35</v>
      </c>
      <c r="P36" s="59">
        <f>ROUND(B!Q36/2,2)</f>
        <v>27.28</v>
      </c>
      <c r="Q36" s="59">
        <f>ROUND(B!R36/2,2)</f>
        <v>24.92</v>
      </c>
      <c r="R36" s="59">
        <f>ROUND(B!S36/2,2)</f>
        <v>22.57</v>
      </c>
      <c r="S36" s="59">
        <f>ROUND(B!T36/2,2)</f>
        <v>20.21</v>
      </c>
      <c r="T36" s="59">
        <f>ROUND(B!U36/2,2)</f>
        <v>17.86</v>
      </c>
      <c r="V36" s="540">
        <f>ROUND(B!X36/2,2)</f>
        <v>16.82</v>
      </c>
      <c r="AE36" s="85"/>
      <c r="AJ36"/>
    </row>
    <row r="37" spans="1:36" ht="15" hidden="1" outlineLevel="1" thickBot="1">
      <c r="A37" s="54">
        <f t="shared" si="0"/>
        <v>29</v>
      </c>
      <c r="C37" s="59">
        <f>ROUND(B!C37/2,2)</f>
        <v>26.61</v>
      </c>
      <c r="D37" s="59">
        <f>ROUND(B!D37/2,2)</f>
        <v>24.57</v>
      </c>
      <c r="E37" s="59">
        <f>ROUND(B!E37/2,2)</f>
        <v>24.57</v>
      </c>
      <c r="G37" s="59">
        <f>ROUND(B!G37/2,2)</f>
        <v>24.57</v>
      </c>
      <c r="H37" s="59">
        <f>ROUND(B!H37/2,2)</f>
        <v>20.36</v>
      </c>
      <c r="I37" s="59">
        <f>ROUND(B!I37/2,2)</f>
        <v>19.16</v>
      </c>
      <c r="J37" s="59">
        <f>ROUND(B!J37/2,2)</f>
        <v>17.96</v>
      </c>
      <c r="K37" s="59">
        <f>ROUND(B!K37/2,2)</f>
        <v>16.75</v>
      </c>
      <c r="L37" s="59">
        <f>ROUND(B!L37/2,2)</f>
        <v>15.55</v>
      </c>
      <c r="N37" s="59">
        <f>ROUND(B!O37/2,2)</f>
        <v>14.35</v>
      </c>
      <c r="P37" s="59">
        <f>ROUND(B!Q37/2,2)</f>
        <v>27.28</v>
      </c>
      <c r="Q37" s="59">
        <f>ROUND(B!R37/2,2)</f>
        <v>24.92</v>
      </c>
      <c r="R37" s="59">
        <f>ROUND(B!S37/2,2)</f>
        <v>22.57</v>
      </c>
      <c r="S37" s="59">
        <f>ROUND(B!T37/2,2)</f>
        <v>20.21</v>
      </c>
      <c r="T37" s="59">
        <f>ROUND(B!U37/2,2)</f>
        <v>17.86</v>
      </c>
      <c r="V37" s="540">
        <f>ROUND(B!X37/2,2)</f>
        <v>16.82</v>
      </c>
      <c r="AE37" s="85"/>
      <c r="AJ37"/>
    </row>
    <row r="38" spans="1:36" ht="15" hidden="1" outlineLevel="1" thickBot="1">
      <c r="A38" s="54">
        <f t="shared" si="0"/>
        <v>30</v>
      </c>
      <c r="C38" s="59">
        <f>ROUND(B!C38/2,2)</f>
        <v>26.61</v>
      </c>
      <c r="D38" s="59">
        <f>ROUND(B!D38/2,2)</f>
        <v>24.57</v>
      </c>
      <c r="E38" s="59">
        <f>ROUND(B!E38/2,2)</f>
        <v>24.57</v>
      </c>
      <c r="G38" s="59">
        <f>ROUND(B!G38/2,2)</f>
        <v>24.57</v>
      </c>
      <c r="H38" s="59">
        <f>ROUND(B!H38/2,2)</f>
        <v>20.36</v>
      </c>
      <c r="I38" s="59">
        <f>ROUND(B!I38/2,2)</f>
        <v>19.16</v>
      </c>
      <c r="J38" s="59">
        <f>ROUND(B!J38/2,2)</f>
        <v>17.96</v>
      </c>
      <c r="K38" s="59">
        <f>ROUND(B!K38/2,2)</f>
        <v>16.75</v>
      </c>
      <c r="L38" s="59">
        <f>ROUND(B!L38/2,2)</f>
        <v>15.55</v>
      </c>
      <c r="N38" s="59">
        <f>ROUND(B!O38/2,2)</f>
        <v>14.35</v>
      </c>
      <c r="P38" s="59">
        <f>ROUND(B!Q38/2,2)</f>
        <v>27.28</v>
      </c>
      <c r="Q38" s="59">
        <f>ROUND(B!R38/2,2)</f>
        <v>24.92</v>
      </c>
      <c r="R38" s="59">
        <f>ROUND(B!S38/2,2)</f>
        <v>22.57</v>
      </c>
      <c r="S38" s="59">
        <f>ROUND(B!T38/2,2)</f>
        <v>20.21</v>
      </c>
      <c r="T38" s="59">
        <f>ROUND(B!U38/2,2)</f>
        <v>17.86</v>
      </c>
      <c r="V38" s="540">
        <f>ROUND(B!X38/2,2)</f>
        <v>16.82</v>
      </c>
      <c r="AE38" s="85"/>
      <c r="AJ38"/>
    </row>
    <row r="39" spans="1:36" ht="15" hidden="1" outlineLevel="1" thickBot="1">
      <c r="A39" s="54">
        <f t="shared" si="0"/>
        <v>31</v>
      </c>
      <c r="C39" s="59">
        <f>ROUND(B!C39/2,2)</f>
        <v>26.61</v>
      </c>
      <c r="D39" s="59">
        <f>ROUND(B!D39/2,2)</f>
        <v>24.57</v>
      </c>
      <c r="E39" s="59">
        <f>ROUND(B!E39/2,2)</f>
        <v>24.57</v>
      </c>
      <c r="G39" s="59">
        <f>ROUND(B!G39/2,2)</f>
        <v>24.57</v>
      </c>
      <c r="H39" s="59">
        <f>ROUND(B!H39/2,2)</f>
        <v>20.36</v>
      </c>
      <c r="I39" s="59">
        <f>ROUND(B!I39/2,2)</f>
        <v>19.16</v>
      </c>
      <c r="J39" s="59">
        <f>ROUND(B!J39/2,2)</f>
        <v>17.96</v>
      </c>
      <c r="K39" s="59">
        <f>ROUND(B!K39/2,2)</f>
        <v>16.75</v>
      </c>
      <c r="L39" s="59">
        <f>ROUND(B!L39/2,2)</f>
        <v>15.55</v>
      </c>
      <c r="N39" s="59">
        <f>ROUND(B!O39/2,2)</f>
        <v>14.35</v>
      </c>
      <c r="P39" s="59">
        <f>ROUND(B!Q39/2,2)</f>
        <v>27.28</v>
      </c>
      <c r="Q39" s="59">
        <f>ROUND(B!R39/2,2)</f>
        <v>24.92</v>
      </c>
      <c r="R39" s="59">
        <f>ROUND(B!S39/2,2)</f>
        <v>22.57</v>
      </c>
      <c r="S39" s="59">
        <f>ROUND(B!T39/2,2)</f>
        <v>20.21</v>
      </c>
      <c r="T39" s="59">
        <f>ROUND(B!U39/2,2)</f>
        <v>17.86</v>
      </c>
      <c r="V39" s="540">
        <f>ROUND(B!X39/2,2)</f>
        <v>16.82</v>
      </c>
      <c r="AE39" s="85"/>
      <c r="AJ39"/>
    </row>
    <row r="40" spans="1:36" ht="15" hidden="1" outlineLevel="1" thickBot="1">
      <c r="A40" s="54">
        <f t="shared" si="0"/>
        <v>32</v>
      </c>
      <c r="C40" s="59">
        <f>ROUND(B!C40/2,2)</f>
        <v>26.61</v>
      </c>
      <c r="D40" s="59">
        <f>ROUND(B!D40/2,2)</f>
        <v>24.57</v>
      </c>
      <c r="E40" s="59">
        <f>ROUND(B!E40/2,2)</f>
        <v>24.57</v>
      </c>
      <c r="G40" s="59">
        <f>ROUND(B!G40/2,2)</f>
        <v>24.57</v>
      </c>
      <c r="H40" s="59">
        <f>ROUND(B!H40/2,2)</f>
        <v>20.36</v>
      </c>
      <c r="I40" s="59">
        <f>ROUND(B!I40/2,2)</f>
        <v>19.16</v>
      </c>
      <c r="J40" s="59">
        <f>ROUND(B!J40/2,2)</f>
        <v>17.96</v>
      </c>
      <c r="K40" s="59">
        <f>ROUND(B!K40/2,2)</f>
        <v>16.75</v>
      </c>
      <c r="L40" s="59">
        <f>ROUND(B!L40/2,2)</f>
        <v>15.55</v>
      </c>
      <c r="N40" s="59">
        <f>ROUND(B!O40/2,2)</f>
        <v>14.35</v>
      </c>
      <c r="P40" s="59">
        <f>ROUND(B!Q40/2,2)</f>
        <v>27.28</v>
      </c>
      <c r="Q40" s="59">
        <f>ROUND(B!R40/2,2)</f>
        <v>24.92</v>
      </c>
      <c r="R40" s="59">
        <f>ROUND(B!S40/2,2)</f>
        <v>22.57</v>
      </c>
      <c r="S40" s="59">
        <f>ROUND(B!T40/2,2)</f>
        <v>20.21</v>
      </c>
      <c r="T40" s="59">
        <f>ROUND(B!U40/2,2)</f>
        <v>17.86</v>
      </c>
      <c r="V40" s="540">
        <f>ROUND(B!X40/2,2)</f>
        <v>16.82</v>
      </c>
      <c r="AE40" s="85"/>
      <c r="AJ40"/>
    </row>
    <row r="41" spans="1:36" ht="15" hidden="1" outlineLevel="1" thickBot="1">
      <c r="A41" s="54">
        <f t="shared" si="0"/>
        <v>33</v>
      </c>
      <c r="C41" s="59">
        <f>ROUND(B!C41/2,2)</f>
        <v>26.61</v>
      </c>
      <c r="D41" s="59">
        <f>ROUND(B!D41/2,2)</f>
        <v>24.57</v>
      </c>
      <c r="E41" s="59">
        <f>ROUND(B!E41/2,2)</f>
        <v>24.57</v>
      </c>
      <c r="G41" s="59">
        <f>ROUND(B!G41/2,2)</f>
        <v>24.57</v>
      </c>
      <c r="H41" s="59">
        <f>ROUND(B!H41/2,2)</f>
        <v>20.36</v>
      </c>
      <c r="I41" s="59">
        <f>ROUND(B!I41/2,2)</f>
        <v>19.16</v>
      </c>
      <c r="J41" s="59">
        <f>ROUND(B!J41/2,2)</f>
        <v>17.96</v>
      </c>
      <c r="K41" s="59">
        <f>ROUND(B!K41/2,2)</f>
        <v>16.75</v>
      </c>
      <c r="L41" s="59">
        <f>ROUND(B!L41/2,2)</f>
        <v>15.55</v>
      </c>
      <c r="N41" s="59">
        <f>ROUND(B!O41/2,2)</f>
        <v>14.35</v>
      </c>
      <c r="P41" s="59">
        <f>ROUND(B!Q41/2,2)</f>
        <v>27.28</v>
      </c>
      <c r="Q41" s="59">
        <f>ROUND(B!R41/2,2)</f>
        <v>24.92</v>
      </c>
      <c r="R41" s="59">
        <f>ROUND(B!S41/2,2)</f>
        <v>22.57</v>
      </c>
      <c r="S41" s="59">
        <f>ROUND(B!T41/2,2)</f>
        <v>20.21</v>
      </c>
      <c r="T41" s="59">
        <f>ROUND(B!U41/2,2)</f>
        <v>17.86</v>
      </c>
      <c r="V41" s="540">
        <f>ROUND(B!X41/2,2)</f>
        <v>16.82</v>
      </c>
      <c r="AE41" s="85"/>
      <c r="AJ41"/>
    </row>
    <row r="42" spans="1:36" ht="15" hidden="1" outlineLevel="1" thickBot="1">
      <c r="A42" s="54">
        <f t="shared" si="0"/>
        <v>34</v>
      </c>
      <c r="C42" s="59">
        <f>ROUND(B!C42/2,2)</f>
        <v>26.61</v>
      </c>
      <c r="D42" s="59">
        <f>ROUND(B!D42/2,2)</f>
        <v>24.57</v>
      </c>
      <c r="E42" s="59">
        <f>ROUND(B!E42/2,2)</f>
        <v>24.57</v>
      </c>
      <c r="G42" s="59">
        <f>ROUND(B!G42/2,2)</f>
        <v>24.57</v>
      </c>
      <c r="H42" s="59">
        <f>ROUND(B!H42/2,2)</f>
        <v>20.36</v>
      </c>
      <c r="I42" s="59">
        <f>ROUND(B!I42/2,2)</f>
        <v>19.16</v>
      </c>
      <c r="J42" s="59">
        <f>ROUND(B!J42/2,2)</f>
        <v>17.96</v>
      </c>
      <c r="K42" s="59">
        <f>ROUND(B!K42/2,2)</f>
        <v>16.75</v>
      </c>
      <c r="L42" s="59">
        <f>ROUND(B!L42/2,2)</f>
        <v>15.55</v>
      </c>
      <c r="N42" s="59">
        <f>ROUND(B!O42/2,2)</f>
        <v>14.35</v>
      </c>
      <c r="P42" s="59">
        <f>ROUND(B!Q42/2,2)</f>
        <v>27.28</v>
      </c>
      <c r="Q42" s="59">
        <f>ROUND(B!R42/2,2)</f>
        <v>24.92</v>
      </c>
      <c r="R42" s="59">
        <f>ROUND(B!S42/2,2)</f>
        <v>22.57</v>
      </c>
      <c r="S42" s="59">
        <f>ROUND(B!T42/2,2)</f>
        <v>20.21</v>
      </c>
      <c r="T42" s="59">
        <f>ROUND(B!U42/2,2)</f>
        <v>17.86</v>
      </c>
      <c r="V42" s="540">
        <f>ROUND(B!X42/2,2)</f>
        <v>16.82</v>
      </c>
      <c r="AE42" s="85"/>
      <c r="AJ42"/>
    </row>
    <row r="43" spans="1:36" ht="15" hidden="1" outlineLevel="1" thickBot="1">
      <c r="A43" s="54">
        <f t="shared" si="0"/>
        <v>35</v>
      </c>
      <c r="C43" s="59">
        <f>ROUND(B!C43/2,2)</f>
        <v>26.61</v>
      </c>
      <c r="D43" s="59">
        <f>ROUND(B!D43/2,2)</f>
        <v>24.57</v>
      </c>
      <c r="E43" s="59">
        <f>ROUND(B!E43/2,2)</f>
        <v>24.57</v>
      </c>
      <c r="G43" s="59">
        <f>ROUND(B!G43/2,2)</f>
        <v>24.57</v>
      </c>
      <c r="H43" s="59">
        <f>ROUND(B!H43/2,2)</f>
        <v>20.36</v>
      </c>
      <c r="I43" s="59">
        <f>ROUND(B!I43/2,2)</f>
        <v>19.16</v>
      </c>
      <c r="J43" s="59">
        <f>ROUND(B!J43/2,2)</f>
        <v>17.96</v>
      </c>
      <c r="K43" s="59">
        <f>ROUND(B!K43/2,2)</f>
        <v>16.75</v>
      </c>
      <c r="L43" s="59">
        <f>ROUND(B!L43/2,2)</f>
        <v>15.55</v>
      </c>
      <c r="N43" s="59">
        <f>ROUND(B!O43/2,2)</f>
        <v>14.35</v>
      </c>
      <c r="P43" s="59">
        <f>ROUND(B!Q43/2,2)</f>
        <v>27.28</v>
      </c>
      <c r="Q43" s="59">
        <f>ROUND(B!R43/2,2)</f>
        <v>24.92</v>
      </c>
      <c r="R43" s="59">
        <f>ROUND(B!S43/2,2)</f>
        <v>22.57</v>
      </c>
      <c r="S43" s="59">
        <f>ROUND(B!T43/2,2)</f>
        <v>20.21</v>
      </c>
      <c r="T43" s="59">
        <f>ROUND(B!U43/2,2)</f>
        <v>17.86</v>
      </c>
      <c r="V43" s="540">
        <f>ROUND(B!X43/2,2)</f>
        <v>16.82</v>
      </c>
      <c r="AE43" s="85"/>
      <c r="AJ43"/>
    </row>
    <row r="44" spans="1:36" ht="15" hidden="1" outlineLevel="1" thickBot="1">
      <c r="A44" s="54">
        <f t="shared" si="0"/>
        <v>36</v>
      </c>
      <c r="C44" s="59">
        <f>ROUND(B!C44/2,2)</f>
        <v>26.61</v>
      </c>
      <c r="D44" s="59">
        <f>ROUND(B!D44/2,2)</f>
        <v>24.57</v>
      </c>
      <c r="E44" s="59">
        <f>ROUND(B!E44/2,2)</f>
        <v>24.57</v>
      </c>
      <c r="G44" s="59">
        <f>ROUND(B!G44/2,2)</f>
        <v>24.57</v>
      </c>
      <c r="H44" s="59">
        <f>ROUND(B!H44/2,2)</f>
        <v>20.36</v>
      </c>
      <c r="I44" s="59">
        <f>ROUND(B!I44/2,2)</f>
        <v>19.16</v>
      </c>
      <c r="J44" s="59">
        <f>ROUND(B!J44/2,2)</f>
        <v>17.96</v>
      </c>
      <c r="K44" s="59">
        <f>ROUND(B!K44/2,2)</f>
        <v>16.75</v>
      </c>
      <c r="L44" s="59">
        <f>ROUND(B!L44/2,2)</f>
        <v>15.55</v>
      </c>
      <c r="N44" s="59">
        <f>ROUND(B!O44/2,2)</f>
        <v>14.35</v>
      </c>
      <c r="P44" s="59">
        <f>ROUND(B!Q44/2,2)</f>
        <v>27.28</v>
      </c>
      <c r="Q44" s="59">
        <f>ROUND(B!R44/2,2)</f>
        <v>24.92</v>
      </c>
      <c r="R44" s="59">
        <f>ROUND(B!S44/2,2)</f>
        <v>22.57</v>
      </c>
      <c r="S44" s="59">
        <f>ROUND(B!T44/2,2)</f>
        <v>20.21</v>
      </c>
      <c r="T44" s="59">
        <f>ROUND(B!U44/2,2)</f>
        <v>17.86</v>
      </c>
      <c r="V44" s="540">
        <f>ROUND(B!X44/2,2)</f>
        <v>16.82</v>
      </c>
      <c r="AE44" s="85"/>
      <c r="AJ44"/>
    </row>
    <row r="45" spans="1:36" ht="15" hidden="1" outlineLevel="1" thickBot="1">
      <c r="A45" s="54">
        <f t="shared" si="0"/>
        <v>37</v>
      </c>
      <c r="C45" s="59">
        <f>ROUND(B!C45/2,2)</f>
        <v>26.61</v>
      </c>
      <c r="D45" s="59">
        <f>ROUND(B!D45/2,2)</f>
        <v>24.57</v>
      </c>
      <c r="E45" s="59">
        <f>ROUND(B!E45/2,2)</f>
        <v>24.57</v>
      </c>
      <c r="G45" s="59">
        <f>ROUND(B!G45/2,2)</f>
        <v>24.57</v>
      </c>
      <c r="H45" s="59">
        <f>ROUND(B!H45/2,2)</f>
        <v>20.36</v>
      </c>
      <c r="I45" s="59">
        <f>ROUND(B!I45/2,2)</f>
        <v>19.16</v>
      </c>
      <c r="J45" s="59">
        <f>ROUND(B!J45/2,2)</f>
        <v>17.96</v>
      </c>
      <c r="K45" s="59">
        <f>ROUND(B!K45/2,2)</f>
        <v>16.75</v>
      </c>
      <c r="L45" s="59">
        <f>ROUND(B!L45/2,2)</f>
        <v>15.55</v>
      </c>
      <c r="N45" s="59">
        <f>ROUND(B!O45/2,2)</f>
        <v>14.35</v>
      </c>
      <c r="P45" s="59">
        <f>ROUND(B!Q45/2,2)</f>
        <v>27.28</v>
      </c>
      <c r="Q45" s="59">
        <f>ROUND(B!R45/2,2)</f>
        <v>24.92</v>
      </c>
      <c r="R45" s="59">
        <f>ROUND(B!S45/2,2)</f>
        <v>22.57</v>
      </c>
      <c r="S45" s="59">
        <f>ROUND(B!T45/2,2)</f>
        <v>20.21</v>
      </c>
      <c r="T45" s="59">
        <f>ROUND(B!U45/2,2)</f>
        <v>17.86</v>
      </c>
      <c r="V45" s="540">
        <f>ROUND(B!X45/2,2)</f>
        <v>16.82</v>
      </c>
      <c r="AE45" s="85"/>
      <c r="AJ45"/>
    </row>
    <row r="46" spans="1:36" ht="15" hidden="1" outlineLevel="1" thickBot="1">
      <c r="A46" s="54">
        <f t="shared" si="0"/>
        <v>38</v>
      </c>
      <c r="C46" s="59">
        <f>ROUND(B!C46/2,2)</f>
        <v>26.61</v>
      </c>
      <c r="D46" s="59">
        <f>ROUND(B!D46/2,2)</f>
        <v>24.57</v>
      </c>
      <c r="E46" s="59">
        <f>ROUND(B!E46/2,2)</f>
        <v>24.57</v>
      </c>
      <c r="G46" s="59">
        <f>ROUND(B!G46/2,2)</f>
        <v>24.57</v>
      </c>
      <c r="H46" s="59">
        <f>ROUND(B!H46/2,2)</f>
        <v>20.36</v>
      </c>
      <c r="I46" s="59">
        <f>ROUND(B!I46/2,2)</f>
        <v>19.16</v>
      </c>
      <c r="J46" s="59">
        <f>ROUND(B!J46/2,2)</f>
        <v>17.96</v>
      </c>
      <c r="K46" s="59">
        <f>ROUND(B!K46/2,2)</f>
        <v>16.75</v>
      </c>
      <c r="L46" s="59">
        <f>ROUND(B!L46/2,2)</f>
        <v>15.55</v>
      </c>
      <c r="N46" s="59">
        <f>ROUND(B!O46/2,2)</f>
        <v>14.35</v>
      </c>
      <c r="P46" s="59">
        <f>ROUND(B!Q46/2,2)</f>
        <v>27.28</v>
      </c>
      <c r="Q46" s="59">
        <f>ROUND(B!R46/2,2)</f>
        <v>24.92</v>
      </c>
      <c r="R46" s="59">
        <f>ROUND(B!S46/2,2)</f>
        <v>22.57</v>
      </c>
      <c r="S46" s="59">
        <f>ROUND(B!T46/2,2)</f>
        <v>20.21</v>
      </c>
      <c r="T46" s="59">
        <f>ROUND(B!U46/2,2)</f>
        <v>17.86</v>
      </c>
      <c r="V46" s="540">
        <f>ROUND(B!X46/2,2)</f>
        <v>16.82</v>
      </c>
      <c r="AE46" s="85"/>
      <c r="AJ46"/>
    </row>
    <row r="47" spans="1:36" ht="15" hidden="1" outlineLevel="1" thickBot="1">
      <c r="A47" s="54">
        <f t="shared" si="0"/>
        <v>39</v>
      </c>
      <c r="C47" s="59">
        <f>ROUND(B!C47/2,2)</f>
        <v>26.61</v>
      </c>
      <c r="D47" s="59">
        <f>ROUND(B!D47/2,2)</f>
        <v>24.57</v>
      </c>
      <c r="E47" s="59">
        <f>ROUND(B!E47/2,2)</f>
        <v>24.57</v>
      </c>
      <c r="G47" s="59">
        <f>ROUND(B!G47/2,2)</f>
        <v>24.57</v>
      </c>
      <c r="H47" s="59">
        <f>ROUND(B!H47/2,2)</f>
        <v>20.36</v>
      </c>
      <c r="I47" s="59">
        <f>ROUND(B!I47/2,2)</f>
        <v>19.16</v>
      </c>
      <c r="J47" s="59">
        <f>ROUND(B!J47/2,2)</f>
        <v>17.96</v>
      </c>
      <c r="K47" s="59">
        <f>ROUND(B!K47/2,2)</f>
        <v>16.75</v>
      </c>
      <c r="L47" s="59">
        <f>ROUND(B!L47/2,2)</f>
        <v>15.55</v>
      </c>
      <c r="N47" s="59">
        <f>ROUND(B!O47/2,2)</f>
        <v>14.35</v>
      </c>
      <c r="P47" s="59">
        <f>ROUND(B!Q47/2,2)</f>
        <v>27.28</v>
      </c>
      <c r="Q47" s="59">
        <f>ROUND(B!R47/2,2)</f>
        <v>24.92</v>
      </c>
      <c r="R47" s="59">
        <f>ROUND(B!S47/2,2)</f>
        <v>22.57</v>
      </c>
      <c r="S47" s="59">
        <f>ROUND(B!T47/2,2)</f>
        <v>20.21</v>
      </c>
      <c r="T47" s="59">
        <f>ROUND(B!U47/2,2)</f>
        <v>17.86</v>
      </c>
      <c r="V47" s="540">
        <f>ROUND(B!X47/2,2)</f>
        <v>16.82</v>
      </c>
      <c r="AE47" s="85"/>
      <c r="AJ47"/>
    </row>
    <row r="48" spans="1:36" ht="15" collapsed="1" thickBot="1">
      <c r="A48" s="54">
        <f t="shared" si="0"/>
        <v>40</v>
      </c>
      <c r="C48" s="59">
        <f>ROUND(B!C48/2,2)</f>
        <v>26.61</v>
      </c>
      <c r="D48" s="59">
        <f>ROUND(B!D48/2,2)</f>
        <v>24.57</v>
      </c>
      <c r="E48" s="59">
        <f>ROUND(B!E48/2,2)</f>
        <v>24.57</v>
      </c>
      <c r="G48" s="59">
        <f>ROUND(B!G48/2,2)</f>
        <v>24.57</v>
      </c>
      <c r="H48" s="59">
        <f>ROUND(B!H48/2,2)</f>
        <v>20.36</v>
      </c>
      <c r="I48" s="59">
        <f>ROUND(B!I48/2,2)</f>
        <v>19.16</v>
      </c>
      <c r="J48" s="59">
        <f>ROUND(B!J48/2,2)</f>
        <v>17.96</v>
      </c>
      <c r="K48" s="59">
        <f>ROUND(B!K48/2,2)</f>
        <v>16.75</v>
      </c>
      <c r="L48" s="59">
        <f>ROUND(B!L48/2,2)</f>
        <v>15.55</v>
      </c>
      <c r="N48" s="59">
        <f>ROUND(B!O48/2,2)</f>
        <v>14.35</v>
      </c>
      <c r="P48" s="59">
        <f>ROUND(B!Q48/2,2)</f>
        <v>27.28</v>
      </c>
      <c r="Q48" s="59">
        <f>ROUND(B!R48/2,2)</f>
        <v>24.92</v>
      </c>
      <c r="R48" s="59">
        <f>ROUND(B!S48/2,2)</f>
        <v>22.57</v>
      </c>
      <c r="S48" s="59">
        <f>ROUND(B!T48/2,2)</f>
        <v>20.21</v>
      </c>
      <c r="T48" s="59">
        <f>ROUND(B!U48/2,2)</f>
        <v>17.86</v>
      </c>
      <c r="V48" s="540">
        <f>ROUND(B!X48/2,2)</f>
        <v>16.82</v>
      </c>
      <c r="AE48" s="85"/>
      <c r="AJ48"/>
    </row>
    <row r="49" spans="1:36" ht="15" thickBot="1">
      <c r="A49" s="54">
        <f t="shared" si="0"/>
        <v>41</v>
      </c>
      <c r="C49" s="59">
        <f>ROUND(B!C49/2,2)</f>
        <v>26.61</v>
      </c>
      <c r="D49" s="59">
        <f>ROUND(B!D49/2,2)</f>
        <v>24.57</v>
      </c>
      <c r="E49" s="59">
        <f>ROUND(B!E49/2,2)</f>
        <v>24.57</v>
      </c>
      <c r="G49" s="59">
        <f>ROUND(B!G49/2,2)</f>
        <v>24.57</v>
      </c>
      <c r="H49" s="59">
        <f>ROUND(B!H49/2,2)</f>
        <v>20.36</v>
      </c>
      <c r="I49" s="59">
        <f>ROUND(B!I49/2,2)</f>
        <v>19.16</v>
      </c>
      <c r="J49" s="59">
        <f>ROUND(B!J49/2,2)</f>
        <v>17.96</v>
      </c>
      <c r="K49" s="59">
        <f>ROUND(B!K49/2,2)</f>
        <v>16.75</v>
      </c>
      <c r="L49" s="59">
        <f>ROUND(B!L49/2,2)</f>
        <v>15.55</v>
      </c>
      <c r="N49" s="59">
        <f>ROUND(B!O49/2,2)</f>
        <v>14.35</v>
      </c>
      <c r="P49" s="59">
        <f>ROUND(B!Q49/2,2)</f>
        <v>27.28</v>
      </c>
      <c r="Q49" s="59">
        <f>ROUND(B!R49/2,2)</f>
        <v>24.92</v>
      </c>
      <c r="R49" s="59">
        <f>ROUND(B!S49/2,2)</f>
        <v>22.57</v>
      </c>
      <c r="S49" s="59">
        <f>ROUND(B!T49/2,2)</f>
        <v>20.21</v>
      </c>
      <c r="T49" s="59">
        <f>ROUND(B!U49/2,2)</f>
        <v>17.86</v>
      </c>
      <c r="V49" s="540">
        <f>ROUND(B!X49/2,2)</f>
        <v>16.82</v>
      </c>
      <c r="AE49" s="85"/>
      <c r="AJ49"/>
    </row>
    <row r="50" spans="1:36" ht="15" thickBot="1">
      <c r="A50" s="54">
        <f t="shared" si="0"/>
        <v>42</v>
      </c>
      <c r="C50" s="59">
        <f>ROUND(B!C50/2,2)</f>
        <v>26.61</v>
      </c>
      <c r="D50" s="59">
        <f>ROUND(B!D50/2,2)</f>
        <v>24.57</v>
      </c>
      <c r="E50" s="59">
        <f>ROUND(B!E50/2,2)</f>
        <v>24.57</v>
      </c>
      <c r="G50" s="59">
        <f>ROUND(B!G50/2,2)</f>
        <v>24.57</v>
      </c>
      <c r="H50" s="59">
        <f>ROUND(B!H50/2,2)</f>
        <v>20.36</v>
      </c>
      <c r="I50" s="59">
        <f>ROUND(B!I50/2,2)</f>
        <v>19.16</v>
      </c>
      <c r="J50" s="59">
        <f>ROUND(B!J50/2,2)</f>
        <v>17.96</v>
      </c>
      <c r="K50" s="59">
        <f>ROUND(B!K50/2,2)</f>
        <v>16.75</v>
      </c>
      <c r="L50" s="59">
        <f>ROUND(B!L50/2,2)</f>
        <v>15.55</v>
      </c>
      <c r="N50" s="59">
        <f>ROUND(B!O50/2,2)</f>
        <v>14.35</v>
      </c>
      <c r="P50" s="59">
        <f>ROUND(B!Q50/2,2)</f>
        <v>27.28</v>
      </c>
      <c r="Q50" s="59">
        <f>ROUND(B!R50/2,2)</f>
        <v>24.92</v>
      </c>
      <c r="R50" s="59">
        <f>ROUND(B!S50/2,2)</f>
        <v>22.57</v>
      </c>
      <c r="S50" s="59">
        <f>ROUND(B!T50/2,2)</f>
        <v>20.21</v>
      </c>
      <c r="T50" s="59">
        <f>ROUND(B!U50/2,2)</f>
        <v>17.86</v>
      </c>
      <c r="V50" s="540">
        <f>ROUND(B!X50/2,2)</f>
        <v>16.82</v>
      </c>
      <c r="AE50" s="85"/>
      <c r="AJ50"/>
    </row>
    <row r="51" spans="1:36" ht="15" thickBot="1">
      <c r="A51" s="54">
        <f t="shared" si="0"/>
        <v>43</v>
      </c>
      <c r="C51" s="59">
        <f>ROUND(B!C51/2,2)</f>
        <v>26.86</v>
      </c>
      <c r="D51" s="59">
        <f>ROUND(B!D51/2,2)</f>
        <v>24.8</v>
      </c>
      <c r="E51" s="59">
        <f>ROUND(B!E51/2,2)</f>
        <v>24.8</v>
      </c>
      <c r="G51" s="59">
        <f>ROUND(B!G51/2,2)</f>
        <v>24.8</v>
      </c>
      <c r="H51" s="59">
        <f>ROUND(B!H51/2,2)</f>
        <v>20.36</v>
      </c>
      <c r="I51" s="59">
        <f>ROUND(B!I51/2,2)</f>
        <v>19.16</v>
      </c>
      <c r="J51" s="59">
        <f>ROUND(B!J51/2,2)</f>
        <v>17.96</v>
      </c>
      <c r="K51" s="59">
        <f>ROUND(B!K51/2,2)</f>
        <v>16.75</v>
      </c>
      <c r="L51" s="59">
        <f>ROUND(B!L51/2,2)</f>
        <v>15.55</v>
      </c>
      <c r="N51" s="59">
        <f>ROUND(B!O51/2,2)</f>
        <v>14.35</v>
      </c>
      <c r="P51" s="59">
        <f>ROUND(B!Q51/2,2)</f>
        <v>27.28</v>
      </c>
      <c r="Q51" s="59">
        <f>ROUND(B!R51/2,2)</f>
        <v>24.92</v>
      </c>
      <c r="R51" s="59">
        <f>ROUND(B!S51/2,2)</f>
        <v>22.57</v>
      </c>
      <c r="S51" s="59">
        <f>ROUND(B!T51/2,2)</f>
        <v>20.21</v>
      </c>
      <c r="T51" s="59">
        <f>ROUND(B!U51/2,2)</f>
        <v>17.86</v>
      </c>
      <c r="V51" s="540">
        <f>ROUND(B!X51/2,2)</f>
        <v>16.82</v>
      </c>
      <c r="AE51" s="85"/>
      <c r="AJ51"/>
    </row>
    <row r="52" spans="1:36" ht="15" thickBot="1">
      <c r="A52" s="54">
        <f t="shared" si="0"/>
        <v>44</v>
      </c>
      <c r="C52" s="59">
        <f>ROUND(B!C52/2,2)</f>
        <v>27.35</v>
      </c>
      <c r="D52" s="59">
        <f>ROUND(B!D52/2,2)</f>
        <v>25.25</v>
      </c>
      <c r="E52" s="59">
        <f>ROUND(B!E52/2,2)</f>
        <v>25.25</v>
      </c>
      <c r="G52" s="59">
        <f>ROUND(B!G52/2,2)</f>
        <v>25.25</v>
      </c>
      <c r="H52" s="59">
        <f>ROUND(B!H52/2,2)</f>
        <v>20.36</v>
      </c>
      <c r="I52" s="59">
        <f>ROUND(B!I52/2,2)</f>
        <v>19.16</v>
      </c>
      <c r="J52" s="59">
        <f>ROUND(B!J52/2,2)</f>
        <v>17.96</v>
      </c>
      <c r="K52" s="59">
        <f>ROUND(B!K52/2,2)</f>
        <v>16.75</v>
      </c>
      <c r="L52" s="59">
        <f>ROUND(B!L52/2,2)</f>
        <v>15.55</v>
      </c>
      <c r="N52" s="59">
        <f>ROUND(B!O52/2,2)</f>
        <v>14.35</v>
      </c>
      <c r="P52" s="59">
        <f>ROUND(B!Q52/2,2)</f>
        <v>27.28</v>
      </c>
      <c r="Q52" s="59">
        <f>ROUND(B!R52/2,2)</f>
        <v>24.92</v>
      </c>
      <c r="R52" s="59">
        <f>ROUND(B!S52/2,2)</f>
        <v>22.57</v>
      </c>
      <c r="S52" s="59">
        <f>ROUND(B!T52/2,2)</f>
        <v>20.21</v>
      </c>
      <c r="T52" s="59">
        <f>ROUND(B!U52/2,2)</f>
        <v>17.86</v>
      </c>
      <c r="V52" s="540">
        <f>ROUND(B!X52/2,2)</f>
        <v>16.82</v>
      </c>
      <c r="AE52" s="85"/>
      <c r="AJ52"/>
    </row>
    <row r="53" spans="1:36" ht="15" thickBot="1">
      <c r="A53" s="54">
        <f t="shared" si="0"/>
        <v>45</v>
      </c>
      <c r="C53" s="59">
        <f>ROUND(B!C53/2,2)</f>
        <v>27.84</v>
      </c>
      <c r="D53" s="59">
        <f>ROUND(B!D53/2,2)</f>
        <v>25.7</v>
      </c>
      <c r="E53" s="59">
        <f>ROUND(B!E53/2,2)</f>
        <v>25.7</v>
      </c>
      <c r="G53" s="59">
        <f>ROUND(B!G53/2,2)</f>
        <v>25.7</v>
      </c>
      <c r="H53" s="59">
        <f>ROUND(B!H53/2,2)</f>
        <v>20.36</v>
      </c>
      <c r="I53" s="59">
        <f>ROUND(B!I53/2,2)</f>
        <v>19.16</v>
      </c>
      <c r="J53" s="59">
        <f>ROUND(B!J53/2,2)</f>
        <v>17.96</v>
      </c>
      <c r="K53" s="59">
        <f>ROUND(B!K53/2,2)</f>
        <v>16.75</v>
      </c>
      <c r="L53" s="59">
        <f>ROUND(B!L53/2,2)</f>
        <v>15.55</v>
      </c>
      <c r="N53" s="59">
        <f>ROUND(B!O53/2,2)</f>
        <v>14.35</v>
      </c>
      <c r="P53" s="59">
        <f>ROUND(B!Q53/2,2)</f>
        <v>27.28</v>
      </c>
      <c r="Q53" s="59">
        <f>ROUND(B!R53/2,2)</f>
        <v>24.92</v>
      </c>
      <c r="R53" s="59">
        <f>ROUND(B!S53/2,2)</f>
        <v>22.57</v>
      </c>
      <c r="S53" s="59">
        <f>ROUND(B!T53/2,2)</f>
        <v>20.21</v>
      </c>
      <c r="T53" s="59">
        <f>ROUND(B!U53/2,2)</f>
        <v>17.86</v>
      </c>
      <c r="V53" s="540">
        <f>ROUND(B!X53/2,2)</f>
        <v>16.82</v>
      </c>
      <c r="AE53" s="85"/>
      <c r="AJ53"/>
    </row>
    <row r="54" spans="1:36" ht="15" thickBot="1">
      <c r="A54" s="54">
        <f t="shared" si="0"/>
        <v>46</v>
      </c>
      <c r="C54" s="59">
        <f>ROUND(B!C54/2,2)</f>
        <v>28.33</v>
      </c>
      <c r="D54" s="59">
        <f>ROUND(B!D54/2,2)</f>
        <v>26.15</v>
      </c>
      <c r="E54" s="59">
        <f>ROUND(B!E54/2,2)</f>
        <v>26.15</v>
      </c>
      <c r="G54" s="59">
        <f>ROUND(B!G54/2,2)</f>
        <v>26.15</v>
      </c>
      <c r="H54" s="59">
        <f>ROUND(B!H54/2,2)</f>
        <v>20.36</v>
      </c>
      <c r="I54" s="59">
        <f>ROUND(B!I54/2,2)</f>
        <v>19.16</v>
      </c>
      <c r="J54" s="59">
        <f>ROUND(B!J54/2,2)</f>
        <v>17.96</v>
      </c>
      <c r="K54" s="59">
        <f>ROUND(B!K54/2,2)</f>
        <v>16.75</v>
      </c>
      <c r="L54" s="59">
        <f>ROUND(B!L54/2,2)</f>
        <v>15.55</v>
      </c>
      <c r="N54" s="59">
        <f>ROUND(B!O54/2,2)</f>
        <v>14.35</v>
      </c>
      <c r="P54" s="59">
        <f>ROUND(B!Q54/2,2)</f>
        <v>27.28</v>
      </c>
      <c r="Q54" s="59">
        <f>ROUND(B!R54/2,2)</f>
        <v>24.92</v>
      </c>
      <c r="R54" s="59">
        <f>ROUND(B!S54/2,2)</f>
        <v>22.57</v>
      </c>
      <c r="S54" s="59">
        <f>ROUND(B!T54/2,2)</f>
        <v>20.21</v>
      </c>
      <c r="T54" s="59">
        <f>ROUND(B!U54/2,2)</f>
        <v>17.86</v>
      </c>
      <c r="V54" s="540">
        <f>ROUND(B!X54/2,2)</f>
        <v>16.82</v>
      </c>
      <c r="AE54" s="85"/>
      <c r="AJ54"/>
    </row>
    <row r="55" spans="1:36" ht="15" thickBot="1">
      <c r="A55" s="54">
        <f t="shared" si="0"/>
        <v>47</v>
      </c>
      <c r="C55" s="59">
        <f>ROUND(B!C55/2,2)</f>
        <v>28.82</v>
      </c>
      <c r="D55" s="59">
        <f>ROUND(B!D55/2,2)</f>
        <v>26.6</v>
      </c>
      <c r="E55" s="59">
        <f>ROUND(B!E55/2,2)</f>
        <v>26.6</v>
      </c>
      <c r="G55" s="59">
        <f>ROUND(B!G55/2,2)</f>
        <v>26.6</v>
      </c>
      <c r="H55" s="59">
        <f>ROUND(B!H55/2,2)</f>
        <v>20.36</v>
      </c>
      <c r="I55" s="59">
        <f>ROUND(B!I55/2,2)</f>
        <v>19.16</v>
      </c>
      <c r="J55" s="59">
        <f>ROUND(B!J55/2,2)</f>
        <v>17.96</v>
      </c>
      <c r="K55" s="59">
        <f>ROUND(B!K55/2,2)</f>
        <v>16.75</v>
      </c>
      <c r="L55" s="59">
        <f>ROUND(B!L55/2,2)</f>
        <v>15.55</v>
      </c>
      <c r="N55" s="59">
        <f>ROUND(B!O55/2,2)</f>
        <v>14.35</v>
      </c>
      <c r="P55" s="59">
        <f>ROUND(B!Q55/2,2)</f>
        <v>27.28</v>
      </c>
      <c r="Q55" s="59">
        <f>ROUND(B!R55/2,2)</f>
        <v>24.92</v>
      </c>
      <c r="R55" s="59">
        <f>ROUND(B!S55/2,2)</f>
        <v>22.57</v>
      </c>
      <c r="S55" s="59">
        <f>ROUND(B!T55/2,2)</f>
        <v>20.21</v>
      </c>
      <c r="T55" s="59">
        <f>ROUND(B!U55/2,2)</f>
        <v>17.86</v>
      </c>
      <c r="V55" s="540">
        <f>ROUND(B!X55/2,2)</f>
        <v>16.82</v>
      </c>
      <c r="AE55" s="85"/>
      <c r="AJ55"/>
    </row>
    <row r="56" spans="1:36" ht="15" thickBot="1">
      <c r="A56" s="54">
        <f t="shared" si="0"/>
        <v>48</v>
      </c>
      <c r="C56" s="59">
        <f>ROUND(B!C56/2,2)</f>
        <v>29.31</v>
      </c>
      <c r="D56" s="59">
        <f>ROUND(B!D56/2,2)</f>
        <v>27.05</v>
      </c>
      <c r="E56" s="59">
        <f>ROUND(B!E56/2,2)</f>
        <v>27.05</v>
      </c>
      <c r="G56" s="59">
        <f>ROUND(B!G56/2,2)</f>
        <v>27.05</v>
      </c>
      <c r="H56" s="59">
        <f>ROUND(B!H56/2,2)</f>
        <v>20.36</v>
      </c>
      <c r="I56" s="59">
        <f>ROUND(B!I56/2,2)</f>
        <v>19.16</v>
      </c>
      <c r="J56" s="59">
        <f>ROUND(B!J56/2,2)</f>
        <v>17.96</v>
      </c>
      <c r="K56" s="59">
        <f>ROUND(B!K56/2,2)</f>
        <v>16.75</v>
      </c>
      <c r="L56" s="59">
        <f>ROUND(B!L56/2,2)</f>
        <v>15.55</v>
      </c>
      <c r="N56" s="59">
        <f>ROUND(B!O56/2,2)</f>
        <v>14.35</v>
      </c>
      <c r="P56" s="59">
        <f>ROUND(B!Q56/2,2)</f>
        <v>27.28</v>
      </c>
      <c r="Q56" s="59">
        <f>ROUND(B!R56/2,2)</f>
        <v>24.92</v>
      </c>
      <c r="R56" s="59">
        <f>ROUND(B!S56/2,2)</f>
        <v>22.57</v>
      </c>
      <c r="S56" s="59">
        <f>ROUND(B!T56/2,2)</f>
        <v>20.21</v>
      </c>
      <c r="T56" s="59">
        <f>ROUND(B!U56/2,2)</f>
        <v>17.86</v>
      </c>
      <c r="V56" s="540">
        <f>ROUND(B!X56/2,2)</f>
        <v>16.82</v>
      </c>
      <c r="AE56" s="85"/>
      <c r="AJ56"/>
    </row>
    <row r="57" spans="1:36" ht="15" thickBot="1">
      <c r="A57" s="54">
        <f t="shared" si="0"/>
        <v>49</v>
      </c>
      <c r="C57" s="59">
        <f>ROUND(B!C57/2,2)</f>
        <v>29.79</v>
      </c>
      <c r="D57" s="59">
        <f>ROUND(B!D57/2,2)</f>
        <v>27.5</v>
      </c>
      <c r="E57" s="59">
        <f>ROUND(B!E57/2,2)</f>
        <v>27.5</v>
      </c>
      <c r="G57" s="59">
        <f>ROUND(B!G57/2,2)</f>
        <v>27.5</v>
      </c>
      <c r="H57" s="59">
        <f>ROUND(B!H57/2,2)</f>
        <v>20.36</v>
      </c>
      <c r="I57" s="59">
        <f>ROUND(B!I57/2,2)</f>
        <v>19.16</v>
      </c>
      <c r="J57" s="59">
        <f>ROUND(B!J57/2,2)</f>
        <v>17.96</v>
      </c>
      <c r="K57" s="59">
        <f>ROUND(B!K57/2,2)</f>
        <v>16.75</v>
      </c>
      <c r="L57" s="59">
        <f>ROUND(B!L57/2,2)</f>
        <v>15.55</v>
      </c>
      <c r="N57" s="59">
        <f>ROUND(B!O57/2,2)</f>
        <v>14.35</v>
      </c>
      <c r="P57" s="59">
        <f>ROUND(B!Q57/2,2)</f>
        <v>27.28</v>
      </c>
      <c r="Q57" s="59">
        <f>ROUND(B!R57/2,2)</f>
        <v>24.92</v>
      </c>
      <c r="R57" s="59">
        <f>ROUND(B!S57/2,2)</f>
        <v>22.57</v>
      </c>
      <c r="S57" s="59">
        <f>ROUND(B!T57/2,2)</f>
        <v>20.21</v>
      </c>
      <c r="T57" s="59">
        <f>ROUND(B!U57/2,2)</f>
        <v>17.86</v>
      </c>
      <c r="V57" s="540">
        <f>ROUND(B!X57/2,2)</f>
        <v>16.82</v>
      </c>
      <c r="AE57" s="85"/>
      <c r="AJ57"/>
    </row>
    <row r="58" spans="1:36" ht="15" thickBot="1">
      <c r="A58" s="54">
        <f t="shared" si="0"/>
        <v>50</v>
      </c>
      <c r="C58" s="59">
        <f>ROUND(B!C58/2,2)</f>
        <v>30.28</v>
      </c>
      <c r="D58" s="59">
        <f>ROUND(B!D58/2,2)</f>
        <v>27.95</v>
      </c>
      <c r="E58" s="59">
        <f>ROUND(B!E58/2,2)</f>
        <v>27.95</v>
      </c>
      <c r="G58" s="59">
        <f>ROUND(B!G58/2,2)</f>
        <v>27.95</v>
      </c>
      <c r="H58" s="59">
        <f>ROUND(B!H58/2,2)</f>
        <v>20.36</v>
      </c>
      <c r="I58" s="59">
        <f>ROUND(B!I58/2,2)</f>
        <v>19.16</v>
      </c>
      <c r="J58" s="59">
        <f>ROUND(B!J58/2,2)</f>
        <v>17.96</v>
      </c>
      <c r="K58" s="59">
        <f>ROUND(B!K58/2,2)</f>
        <v>16.75</v>
      </c>
      <c r="L58" s="59">
        <f>ROUND(B!L58/2,2)</f>
        <v>15.55</v>
      </c>
      <c r="N58" s="59">
        <f>ROUND(B!O58/2,2)</f>
        <v>14.35</v>
      </c>
      <c r="P58" s="59">
        <f>ROUND(B!Q58/2,2)</f>
        <v>27.28</v>
      </c>
      <c r="Q58" s="59">
        <f>ROUND(B!R58/2,2)</f>
        <v>24.92</v>
      </c>
      <c r="R58" s="59">
        <f>ROUND(B!S58/2,2)</f>
        <v>22.57</v>
      </c>
      <c r="S58" s="59">
        <f>ROUND(B!T58/2,2)</f>
        <v>20.21</v>
      </c>
      <c r="T58" s="59">
        <f>ROUND(B!U58/2,2)</f>
        <v>17.86</v>
      </c>
      <c r="V58" s="540">
        <f>ROUND(B!X58/2,2)</f>
        <v>16.82</v>
      </c>
      <c r="AE58" s="85"/>
      <c r="AJ58"/>
    </row>
    <row r="59" spans="1:36" ht="15" thickBot="1">
      <c r="A59" s="54">
        <f t="shared" si="0"/>
        <v>51</v>
      </c>
      <c r="C59" s="59">
        <f>ROUND(B!C59/2,2)</f>
        <v>30.77</v>
      </c>
      <c r="D59" s="59">
        <f>ROUND(B!D59/2,2)</f>
        <v>28.4</v>
      </c>
      <c r="E59" s="59">
        <f>ROUND(B!E59/2,2)</f>
        <v>28.4</v>
      </c>
      <c r="G59" s="59">
        <f>ROUND(B!G59/2,2)</f>
        <v>28.4</v>
      </c>
      <c r="H59" s="59">
        <f>ROUND(B!H59/2,2)</f>
        <v>20.36</v>
      </c>
      <c r="I59" s="59">
        <f>ROUND(B!I59/2,2)</f>
        <v>19.16</v>
      </c>
      <c r="J59" s="59">
        <f>ROUND(B!J59/2,2)</f>
        <v>17.96</v>
      </c>
      <c r="K59" s="59">
        <f>ROUND(B!K59/2,2)</f>
        <v>16.75</v>
      </c>
      <c r="L59" s="59">
        <f>ROUND(B!L59/2,2)</f>
        <v>15.55</v>
      </c>
      <c r="N59" s="59">
        <f>ROUND(B!O59/2,2)</f>
        <v>14.35</v>
      </c>
      <c r="P59" s="59">
        <f>ROUND(B!Q59/2,2)</f>
        <v>27.28</v>
      </c>
      <c r="Q59" s="59">
        <f>ROUND(B!R59/2,2)</f>
        <v>24.92</v>
      </c>
      <c r="R59" s="59">
        <f>ROUND(B!S59/2,2)</f>
        <v>22.57</v>
      </c>
      <c r="S59" s="59">
        <f>ROUND(B!T59/2,2)</f>
        <v>20.21</v>
      </c>
      <c r="T59" s="59">
        <f>ROUND(B!U59/2,2)</f>
        <v>17.86</v>
      </c>
      <c r="V59" s="540">
        <f>ROUND(B!X59/2,2)</f>
        <v>16.82</v>
      </c>
      <c r="AE59" s="85"/>
      <c r="AJ59"/>
    </row>
    <row r="60" spans="1:36" ht="15" thickBot="1">
      <c r="A60" s="54">
        <f t="shared" si="0"/>
        <v>52</v>
      </c>
      <c r="C60" s="59">
        <f>ROUND(B!C60/2,2)</f>
        <v>31.26</v>
      </c>
      <c r="D60" s="59">
        <f>ROUND(B!D60/2,2)</f>
        <v>28.85</v>
      </c>
      <c r="E60" s="59">
        <f>ROUND(B!E60/2,2)</f>
        <v>28.85</v>
      </c>
      <c r="G60" s="59">
        <f>ROUND(B!G60/2,2)</f>
        <v>28.85</v>
      </c>
      <c r="H60" s="59">
        <f>ROUND(B!H60/2,2)</f>
        <v>20.36</v>
      </c>
      <c r="I60" s="59">
        <f>ROUND(B!I60/2,2)</f>
        <v>19.16</v>
      </c>
      <c r="J60" s="59">
        <f>ROUND(B!J60/2,2)</f>
        <v>17.96</v>
      </c>
      <c r="K60" s="59">
        <f>ROUND(B!K60/2,2)</f>
        <v>16.75</v>
      </c>
      <c r="L60" s="59">
        <f>ROUND(B!L60/2,2)</f>
        <v>15.55</v>
      </c>
      <c r="N60" s="59">
        <f>ROUND(B!O60/2,2)</f>
        <v>14.35</v>
      </c>
      <c r="P60" s="59">
        <f>ROUND(B!Q60/2,2)</f>
        <v>27.28</v>
      </c>
      <c r="Q60" s="59">
        <f>ROUND(B!R60/2,2)</f>
        <v>24.92</v>
      </c>
      <c r="R60" s="59">
        <f>ROUND(B!S60/2,2)</f>
        <v>22.57</v>
      </c>
      <c r="S60" s="59">
        <f>ROUND(B!T60/2,2)</f>
        <v>20.21</v>
      </c>
      <c r="T60" s="59">
        <f>ROUND(B!U60/2,2)</f>
        <v>17.86</v>
      </c>
      <c r="V60" s="540">
        <f>ROUND(B!X60/2,2)</f>
        <v>16.82</v>
      </c>
      <c r="AE60" s="85"/>
      <c r="AJ60"/>
    </row>
    <row r="61" spans="1:36" ht="15" thickBot="1">
      <c r="A61" s="54">
        <f t="shared" si="0"/>
        <v>53</v>
      </c>
      <c r="C61" s="59">
        <f>ROUND(B!C61/2,2)</f>
        <v>31.75</v>
      </c>
      <c r="D61" s="59">
        <f>ROUND(B!D61/2,2)</f>
        <v>29.31</v>
      </c>
      <c r="E61" s="59">
        <f>ROUND(B!E61/2,2)</f>
        <v>29.31</v>
      </c>
      <c r="G61" s="59">
        <f>ROUND(B!G61/2,2)</f>
        <v>29.31</v>
      </c>
      <c r="H61" s="59">
        <f>ROUND(B!H61/2,2)</f>
        <v>20.36</v>
      </c>
      <c r="I61" s="59">
        <f>ROUND(B!I61/2,2)</f>
        <v>19.16</v>
      </c>
      <c r="J61" s="59">
        <f>ROUND(B!J61/2,2)</f>
        <v>17.96</v>
      </c>
      <c r="K61" s="59">
        <f>ROUND(B!K61/2,2)</f>
        <v>16.75</v>
      </c>
      <c r="L61" s="59">
        <f>ROUND(B!L61/2,2)</f>
        <v>15.55</v>
      </c>
      <c r="N61" s="59">
        <f>ROUND(B!O61/2,2)</f>
        <v>14.35</v>
      </c>
      <c r="P61" s="59">
        <f>ROUND(B!Q61/2,2)</f>
        <v>27.28</v>
      </c>
      <c r="Q61" s="59">
        <f>ROUND(B!R61/2,2)</f>
        <v>24.92</v>
      </c>
      <c r="R61" s="59">
        <f>ROUND(B!S61/2,2)</f>
        <v>22.57</v>
      </c>
      <c r="S61" s="59">
        <f>ROUND(B!T61/2,2)</f>
        <v>20.21</v>
      </c>
      <c r="T61" s="59">
        <f>ROUND(B!U61/2,2)</f>
        <v>17.86</v>
      </c>
      <c r="V61" s="540">
        <f>ROUND(B!X61/2,2)</f>
        <v>16.82</v>
      </c>
      <c r="AE61" s="85"/>
      <c r="AJ61"/>
    </row>
    <row r="62" spans="1:36" ht="15" thickBot="1">
      <c r="A62" s="54">
        <f t="shared" si="0"/>
        <v>54</v>
      </c>
      <c r="C62" s="59">
        <f>ROUND(B!C62/2,2)</f>
        <v>31.99</v>
      </c>
      <c r="D62" s="59">
        <f>ROUND(B!D62/2,2)</f>
        <v>29.53</v>
      </c>
      <c r="E62" s="59">
        <f>ROUND(B!E62/2,2)</f>
        <v>29.53</v>
      </c>
      <c r="G62" s="59">
        <f>ROUND(B!G62/2,2)</f>
        <v>29.53</v>
      </c>
      <c r="H62" s="59">
        <f>ROUND(B!H62/2,2)</f>
        <v>20.36</v>
      </c>
      <c r="I62" s="59">
        <f>ROUND(B!I62/2,2)</f>
        <v>19.16</v>
      </c>
      <c r="J62" s="59">
        <f>ROUND(B!J62/2,2)</f>
        <v>17.96</v>
      </c>
      <c r="K62" s="59">
        <f>ROUND(B!K62/2,2)</f>
        <v>16.75</v>
      </c>
      <c r="L62" s="59">
        <f>ROUND(B!L62/2,2)</f>
        <v>15.55</v>
      </c>
      <c r="N62" s="59">
        <f>ROUND(B!O62/2,2)</f>
        <v>14.35</v>
      </c>
      <c r="P62" s="59">
        <f>ROUND(B!Q62/2,2)</f>
        <v>27.28</v>
      </c>
      <c r="Q62" s="59">
        <f>ROUND(B!R62/2,2)</f>
        <v>24.92</v>
      </c>
      <c r="R62" s="59">
        <f>ROUND(B!S62/2,2)</f>
        <v>22.57</v>
      </c>
      <c r="S62" s="59">
        <f>ROUND(B!T62/2,2)</f>
        <v>20.21</v>
      </c>
      <c r="T62" s="59">
        <f>ROUND(B!U62/2,2)</f>
        <v>17.86</v>
      </c>
      <c r="V62" s="540">
        <f>ROUND(B!X62/2,2)</f>
        <v>16.82</v>
      </c>
      <c r="AE62" s="85"/>
      <c r="AJ62"/>
    </row>
    <row r="63" spans="1:36" ht="15" thickBot="1">
      <c r="A63" s="54">
        <f t="shared" si="0"/>
        <v>55</v>
      </c>
      <c r="C63" s="59">
        <f>ROUND(B!C63/2,2)</f>
        <v>32.24</v>
      </c>
      <c r="D63" s="59">
        <f>ROUND(B!D63/2,2)</f>
        <v>29.76</v>
      </c>
      <c r="E63" s="59">
        <f>ROUND(B!E63/2,2)</f>
        <v>29.76</v>
      </c>
      <c r="G63" s="59">
        <f>ROUND(B!G63/2,2)</f>
        <v>29.76</v>
      </c>
      <c r="H63" s="59">
        <f>ROUND(B!H63/2,2)</f>
        <v>20.36</v>
      </c>
      <c r="I63" s="59">
        <f>ROUND(B!I63/2,2)</f>
        <v>19.16</v>
      </c>
      <c r="J63" s="59">
        <f>ROUND(B!J63/2,2)</f>
        <v>17.96</v>
      </c>
      <c r="K63" s="59">
        <f>ROUND(B!K63/2,2)</f>
        <v>16.75</v>
      </c>
      <c r="L63" s="59">
        <f>ROUND(B!L63/2,2)</f>
        <v>15.55</v>
      </c>
      <c r="N63" s="59">
        <f>ROUND(B!O63/2,2)</f>
        <v>14.35</v>
      </c>
      <c r="P63" s="59">
        <f>ROUND(B!Q63/2,2)</f>
        <v>27.28</v>
      </c>
      <c r="Q63" s="59">
        <f>ROUND(B!R63/2,2)</f>
        <v>24.92</v>
      </c>
      <c r="R63" s="59">
        <f>ROUND(B!S63/2,2)</f>
        <v>22.57</v>
      </c>
      <c r="S63" s="59">
        <f>ROUND(B!T63/2,2)</f>
        <v>20.21</v>
      </c>
      <c r="T63" s="59">
        <f>ROUND(B!U63/2,2)</f>
        <v>17.86</v>
      </c>
      <c r="V63" s="540">
        <f>ROUND(B!X63/2,2)</f>
        <v>16.82</v>
      </c>
      <c r="AE63" s="85"/>
      <c r="AJ63"/>
    </row>
    <row r="64" spans="1:36" ht="15" thickBot="1">
      <c r="A64" s="54">
        <f t="shared" si="0"/>
        <v>56</v>
      </c>
      <c r="C64" s="59">
        <f>ROUND(B!C64/2,2)</f>
        <v>32.72</v>
      </c>
      <c r="D64" s="59">
        <f>ROUND(B!D64/2,2)</f>
        <v>30.21</v>
      </c>
      <c r="E64" s="59">
        <f>ROUND(B!E64/2,2)</f>
        <v>30.21</v>
      </c>
      <c r="G64" s="59">
        <f>ROUND(B!G64/2,2)</f>
        <v>30.21</v>
      </c>
      <c r="H64" s="59">
        <f>ROUND(B!H64/2,2)</f>
        <v>20.36</v>
      </c>
      <c r="I64" s="59">
        <f>ROUND(B!I64/2,2)</f>
        <v>19.16</v>
      </c>
      <c r="J64" s="59">
        <f>ROUND(B!J64/2,2)</f>
        <v>17.96</v>
      </c>
      <c r="K64" s="59">
        <f>ROUND(B!K64/2,2)</f>
        <v>16.75</v>
      </c>
      <c r="L64" s="59">
        <f>ROUND(B!L64/2,2)</f>
        <v>15.55</v>
      </c>
      <c r="N64" s="59">
        <f>ROUND(B!O64/2,2)</f>
        <v>14.35</v>
      </c>
      <c r="P64" s="59">
        <f>ROUND(B!Q64/2,2)</f>
        <v>27.69</v>
      </c>
      <c r="Q64" s="59">
        <f>ROUND(B!R64/2,2)</f>
        <v>25.25</v>
      </c>
      <c r="R64" s="59">
        <f>ROUND(B!S64/2,2)</f>
        <v>22.82</v>
      </c>
      <c r="S64" s="59">
        <f>ROUND(B!T64/2,2)</f>
        <v>20.38</v>
      </c>
      <c r="T64" s="59">
        <f>ROUND(B!U64/2,2)</f>
        <v>17.940000000000001</v>
      </c>
      <c r="V64" s="540">
        <f>ROUND(B!X64/2,2)</f>
        <v>16.82</v>
      </c>
      <c r="AE64" s="85"/>
      <c r="AJ64"/>
    </row>
    <row r="65" spans="1:36" ht="15" thickBot="1">
      <c r="A65" s="54">
        <f t="shared" si="0"/>
        <v>57</v>
      </c>
      <c r="C65" s="59">
        <f>ROUND(B!C65/2,2)</f>
        <v>33.21</v>
      </c>
      <c r="D65" s="59">
        <f>ROUND(B!D65/2,2)</f>
        <v>30.66</v>
      </c>
      <c r="E65" s="59">
        <f>ROUND(B!E65/2,2)</f>
        <v>30.66</v>
      </c>
      <c r="G65" s="59">
        <f>ROUND(B!G65/2,2)</f>
        <v>30.66</v>
      </c>
      <c r="H65" s="59">
        <f>ROUND(B!H65/2,2)</f>
        <v>20.440000000000001</v>
      </c>
      <c r="I65" s="59">
        <f>ROUND(B!I65/2,2)</f>
        <v>19.16</v>
      </c>
      <c r="J65" s="59">
        <f>ROUND(B!J65/2,2)</f>
        <v>17.96</v>
      </c>
      <c r="K65" s="59">
        <f>ROUND(B!K65/2,2)</f>
        <v>16.75</v>
      </c>
      <c r="L65" s="59">
        <f>ROUND(B!L65/2,2)</f>
        <v>15.55</v>
      </c>
      <c r="N65" s="59">
        <f>ROUND(B!O65/2,2)</f>
        <v>14.35</v>
      </c>
      <c r="P65" s="59">
        <f>ROUND(B!Q65/2,2)</f>
        <v>28.1</v>
      </c>
      <c r="Q65" s="59">
        <f>ROUND(B!R65/2,2)</f>
        <v>25.58</v>
      </c>
      <c r="R65" s="59">
        <f>ROUND(B!S65/2,2)</f>
        <v>23.06</v>
      </c>
      <c r="S65" s="59">
        <f>ROUND(B!T65/2,2)</f>
        <v>20.54</v>
      </c>
      <c r="T65" s="59">
        <f>ROUND(B!U65/2,2)</f>
        <v>18.02</v>
      </c>
      <c r="V65" s="540">
        <f>ROUND(B!X65/2,2)</f>
        <v>16.82</v>
      </c>
      <c r="AE65" s="85"/>
      <c r="AJ65"/>
    </row>
    <row r="66" spans="1:36" ht="15" thickBot="1">
      <c r="A66" s="54">
        <f t="shared" si="0"/>
        <v>58</v>
      </c>
      <c r="C66" s="59">
        <f>ROUND(B!C66/2,2)</f>
        <v>33.700000000000003</v>
      </c>
      <c r="D66" s="59">
        <f>ROUND(B!D66/2,2)</f>
        <v>31.11</v>
      </c>
      <c r="E66" s="59">
        <f>ROUND(B!E66/2,2)</f>
        <v>31.11</v>
      </c>
      <c r="G66" s="59">
        <f>ROUND(B!G66/2,2)</f>
        <v>31.11</v>
      </c>
      <c r="H66" s="59">
        <f>ROUND(B!H66/2,2)</f>
        <v>20.74</v>
      </c>
      <c r="I66" s="59">
        <f>ROUND(B!I66/2,2)</f>
        <v>19.2</v>
      </c>
      <c r="J66" s="59">
        <f>ROUND(B!J66/2,2)</f>
        <v>17.96</v>
      </c>
      <c r="K66" s="59">
        <f>ROUND(B!K66/2,2)</f>
        <v>16.75</v>
      </c>
      <c r="L66" s="59">
        <f>ROUND(B!L66/2,2)</f>
        <v>15.55</v>
      </c>
      <c r="N66" s="59">
        <f>ROUND(B!O66/2,2)</f>
        <v>14.35</v>
      </c>
      <c r="P66" s="59">
        <f>ROUND(B!Q66/2,2)</f>
        <v>28.52</v>
      </c>
      <c r="Q66" s="59">
        <f>ROUND(B!R66/2,2)</f>
        <v>25.91</v>
      </c>
      <c r="R66" s="59">
        <f>ROUND(B!S66/2,2)</f>
        <v>23.31</v>
      </c>
      <c r="S66" s="59">
        <f>ROUND(B!T66/2,2)</f>
        <v>20.71</v>
      </c>
      <c r="T66" s="59">
        <f>ROUND(B!U66/2,2)</f>
        <v>18.11</v>
      </c>
      <c r="V66" s="540">
        <f>ROUND(B!X66/2,2)</f>
        <v>16.82</v>
      </c>
      <c r="AE66" s="85"/>
      <c r="AJ66"/>
    </row>
    <row r="67" spans="1:36" ht="15" thickBot="1">
      <c r="A67" s="54">
        <f t="shared" si="0"/>
        <v>59</v>
      </c>
      <c r="C67" s="59">
        <f>ROUND(B!C67/2,2)</f>
        <v>34.31</v>
      </c>
      <c r="D67" s="59">
        <f>ROUND(B!D67/2,2)</f>
        <v>31.67</v>
      </c>
      <c r="E67" s="59">
        <f>ROUND(B!E67/2,2)</f>
        <v>31.67</v>
      </c>
      <c r="G67" s="59">
        <f>ROUND(B!G67/2,2)</f>
        <v>31.67</v>
      </c>
      <c r="H67" s="59">
        <f>ROUND(B!H67/2,2)</f>
        <v>21.12</v>
      </c>
      <c r="I67" s="59">
        <f>ROUND(B!I67/2,2)</f>
        <v>19.5</v>
      </c>
      <c r="J67" s="59">
        <f>ROUND(B!J67/2,2)</f>
        <v>17.96</v>
      </c>
      <c r="K67" s="59">
        <f>ROUND(B!K67/2,2)</f>
        <v>16.75</v>
      </c>
      <c r="L67" s="59">
        <f>ROUND(B!L67/2,2)</f>
        <v>15.55</v>
      </c>
      <c r="N67" s="59">
        <f>ROUND(B!O67/2,2)</f>
        <v>14.35</v>
      </c>
      <c r="P67" s="59">
        <f>ROUND(B!Q67/2,2)</f>
        <v>29.03</v>
      </c>
      <c r="Q67" s="59">
        <f>ROUND(B!R67/2,2)</f>
        <v>26.33</v>
      </c>
      <c r="R67" s="59">
        <f>ROUND(B!S67/2,2)</f>
        <v>23.62</v>
      </c>
      <c r="S67" s="59">
        <f>ROUND(B!T67/2,2)</f>
        <v>20.91</v>
      </c>
      <c r="T67" s="59">
        <f>ROUND(B!U67/2,2)</f>
        <v>18.21</v>
      </c>
      <c r="V67" s="540">
        <f>ROUND(B!X67/2,2)</f>
        <v>16.82</v>
      </c>
      <c r="AE67" s="85"/>
      <c r="AJ67"/>
    </row>
    <row r="68" spans="1:36" ht="15" thickBot="1">
      <c r="A68" s="54">
        <f t="shared" si="0"/>
        <v>60</v>
      </c>
      <c r="C68" s="59">
        <f>ROUND(B!C68/2,2)</f>
        <v>34.74</v>
      </c>
      <c r="D68" s="59">
        <f>ROUND(B!D68/2,2)</f>
        <v>32.07</v>
      </c>
      <c r="E68" s="59">
        <f>ROUND(B!E68/2,2)</f>
        <v>32.07</v>
      </c>
      <c r="G68" s="59">
        <f>ROUND(B!G68/2,2)</f>
        <v>32.07</v>
      </c>
      <c r="H68" s="59">
        <f>ROUND(B!H68/2,2)</f>
        <v>21.38</v>
      </c>
      <c r="I68" s="59">
        <f>ROUND(B!I68/2,2)</f>
        <v>19.71</v>
      </c>
      <c r="J68" s="59">
        <f>ROUND(B!J68/2,2)</f>
        <v>18.04</v>
      </c>
      <c r="K68" s="59">
        <f>ROUND(B!K68/2,2)</f>
        <v>16.75</v>
      </c>
      <c r="L68" s="59">
        <f>ROUND(B!L68/2,2)</f>
        <v>15.55</v>
      </c>
      <c r="N68" s="59">
        <f>ROUND(B!O68/2,2)</f>
        <v>14.35</v>
      </c>
      <c r="P68" s="59">
        <f>ROUND(B!Q68/2,2)</f>
        <v>29.4</v>
      </c>
      <c r="Q68" s="59">
        <f>ROUND(B!R68/2,2)</f>
        <v>26.62</v>
      </c>
      <c r="R68" s="59">
        <f>ROUND(B!S68/2,2)</f>
        <v>23.84</v>
      </c>
      <c r="S68" s="59">
        <f>ROUND(B!T68/2,2)</f>
        <v>21.06</v>
      </c>
      <c r="T68" s="59">
        <f>ROUND(B!U68/2,2)</f>
        <v>18.28</v>
      </c>
      <c r="V68" s="540">
        <f>ROUND(B!X68/2,2)</f>
        <v>16.82</v>
      </c>
      <c r="AE68" s="85"/>
      <c r="AJ68"/>
    </row>
    <row r="69" spans="1:36" ht="15" thickBot="1">
      <c r="A69" s="54">
        <f t="shared" si="0"/>
        <v>61</v>
      </c>
      <c r="C69" s="59">
        <f>ROUND(B!C69/2,2)</f>
        <v>35.17</v>
      </c>
      <c r="D69" s="59">
        <f>ROUND(B!D69/2,2)</f>
        <v>32.46</v>
      </c>
      <c r="E69" s="59">
        <f>ROUND(B!E69/2,2)</f>
        <v>32.46</v>
      </c>
      <c r="G69" s="59">
        <f>ROUND(B!G69/2,2)</f>
        <v>32.46</v>
      </c>
      <c r="H69" s="59">
        <f>ROUND(B!H69/2,2)</f>
        <v>21.64</v>
      </c>
      <c r="I69" s="59">
        <f>ROUND(B!I69/2,2)</f>
        <v>19.920000000000002</v>
      </c>
      <c r="J69" s="59">
        <f>ROUND(B!J69/2,2)</f>
        <v>18.2</v>
      </c>
      <c r="K69" s="59">
        <f>ROUND(B!K69/2,2)</f>
        <v>16.75</v>
      </c>
      <c r="L69" s="59">
        <f>ROUND(B!L69/2,2)</f>
        <v>15.55</v>
      </c>
      <c r="N69" s="59">
        <f>ROUND(B!O69/2,2)</f>
        <v>14.35</v>
      </c>
      <c r="P69" s="59">
        <f>ROUND(B!Q69/2,2)</f>
        <v>29.76</v>
      </c>
      <c r="Q69" s="59">
        <f>ROUND(B!R69/2,2)</f>
        <v>26.91</v>
      </c>
      <c r="R69" s="59">
        <f>ROUND(B!S69/2,2)</f>
        <v>24.06</v>
      </c>
      <c r="S69" s="59">
        <f>ROUND(B!T69/2,2)</f>
        <v>21.2</v>
      </c>
      <c r="T69" s="59">
        <f>ROUND(B!U69/2,2)</f>
        <v>18.350000000000001</v>
      </c>
      <c r="V69" s="540">
        <f>ROUND(B!X69/2,2)</f>
        <v>16.82</v>
      </c>
      <c r="AE69" s="85"/>
      <c r="AJ69"/>
    </row>
    <row r="70" spans="1:36" ht="15" thickBot="1">
      <c r="A70" s="54">
        <f t="shared" si="0"/>
        <v>62</v>
      </c>
      <c r="C70" s="59">
        <f>ROUND(B!C70/2,2)</f>
        <v>35.65</v>
      </c>
      <c r="D70" s="59">
        <f>ROUND(B!D70/2,2)</f>
        <v>32.909999999999997</v>
      </c>
      <c r="E70" s="59">
        <f>ROUND(B!E70/2,2)</f>
        <v>32.909999999999997</v>
      </c>
      <c r="G70" s="59">
        <f>ROUND(B!G70/2,2)</f>
        <v>32.909999999999997</v>
      </c>
      <c r="H70" s="59">
        <f>ROUND(B!H70/2,2)</f>
        <v>21.94</v>
      </c>
      <c r="I70" s="59">
        <f>ROUND(B!I70/2,2)</f>
        <v>20.16</v>
      </c>
      <c r="J70" s="59">
        <f>ROUND(B!J70/2,2)</f>
        <v>18.38</v>
      </c>
      <c r="K70" s="59">
        <f>ROUND(B!K70/2,2)</f>
        <v>16.75</v>
      </c>
      <c r="L70" s="59">
        <f>ROUND(B!L70/2,2)</f>
        <v>15.55</v>
      </c>
      <c r="N70" s="59">
        <f>ROUND(B!O70/2,2)</f>
        <v>14.35</v>
      </c>
      <c r="P70" s="59">
        <f>ROUND(B!Q70/2,2)</f>
        <v>30.17</v>
      </c>
      <c r="Q70" s="59">
        <f>ROUND(B!R70/2,2)</f>
        <v>27.23</v>
      </c>
      <c r="R70" s="59">
        <f>ROUND(B!S70/2,2)</f>
        <v>24.3</v>
      </c>
      <c r="S70" s="59">
        <f>ROUND(B!T70/2,2)</f>
        <v>21.37</v>
      </c>
      <c r="T70" s="59">
        <f>ROUND(B!U70/2,2)</f>
        <v>18.440000000000001</v>
      </c>
      <c r="V70" s="540">
        <f>ROUND(B!X70/2,2)</f>
        <v>16.82</v>
      </c>
      <c r="AE70" s="85"/>
      <c r="AJ70"/>
    </row>
    <row r="71" spans="1:36" ht="15" thickBot="1">
      <c r="A71" s="54">
        <f t="shared" si="0"/>
        <v>63</v>
      </c>
      <c r="C71" s="59">
        <f>ROUND(B!C71/2,2)</f>
        <v>36.14</v>
      </c>
      <c r="D71" s="59">
        <f>ROUND(B!D71/2,2)</f>
        <v>33.36</v>
      </c>
      <c r="E71" s="59">
        <f>ROUND(B!E71/2,2)</f>
        <v>33.36</v>
      </c>
      <c r="G71" s="59">
        <f>ROUND(B!G71/2,2)</f>
        <v>33.36</v>
      </c>
      <c r="H71" s="59">
        <f>ROUND(B!H71/2,2)</f>
        <v>22.24</v>
      </c>
      <c r="I71" s="59">
        <f>ROUND(B!I71/2,2)</f>
        <v>20.399999999999999</v>
      </c>
      <c r="J71" s="59">
        <f>ROUND(B!J71/2,2)</f>
        <v>18.559999999999999</v>
      </c>
      <c r="K71" s="59">
        <f>ROUND(B!K71/2,2)</f>
        <v>16.75</v>
      </c>
      <c r="L71" s="59">
        <f>ROUND(B!L71/2,2)</f>
        <v>15.55</v>
      </c>
      <c r="N71" s="59">
        <f>ROUND(B!O71/2,2)</f>
        <v>14.35</v>
      </c>
      <c r="P71" s="59">
        <f>ROUND(B!Q71/2,2)</f>
        <v>30.58</v>
      </c>
      <c r="Q71" s="59">
        <f>ROUND(B!R71/2,2)</f>
        <v>27.57</v>
      </c>
      <c r="R71" s="59">
        <f>ROUND(B!S71/2,2)</f>
        <v>24.55</v>
      </c>
      <c r="S71" s="59">
        <f>ROUND(B!T71/2,2)</f>
        <v>21.53</v>
      </c>
      <c r="T71" s="59">
        <f>ROUND(B!U71/2,2)</f>
        <v>18.52</v>
      </c>
      <c r="V71" s="540">
        <f>ROUND(B!X71/2,2)</f>
        <v>16.82</v>
      </c>
      <c r="AE71" s="85"/>
      <c r="AJ71"/>
    </row>
    <row r="72" spans="1:36" ht="15" thickBot="1">
      <c r="A72" s="54">
        <f t="shared" si="0"/>
        <v>64</v>
      </c>
      <c r="C72" s="59">
        <f>ROUND(B!C72/2,2)</f>
        <v>36.72</v>
      </c>
      <c r="D72" s="59">
        <f>ROUND(B!D72/2,2)</f>
        <v>33.89</v>
      </c>
      <c r="E72" s="59">
        <f>ROUND(B!E72/2,2)</f>
        <v>33.89</v>
      </c>
      <c r="G72" s="59">
        <f>ROUND(B!G72/2,2)</f>
        <v>33.89</v>
      </c>
      <c r="H72" s="59">
        <f>ROUND(B!H72/2,2)</f>
        <v>22.6</v>
      </c>
      <c r="I72" s="59">
        <f>ROUND(B!I72/2,2)</f>
        <v>20.68</v>
      </c>
      <c r="J72" s="59">
        <f>ROUND(B!J72/2,2)</f>
        <v>18.77</v>
      </c>
      <c r="K72" s="59">
        <f>ROUND(B!K72/2,2)</f>
        <v>16.86</v>
      </c>
      <c r="L72" s="59">
        <f>ROUND(B!L72/2,2)</f>
        <v>15.55</v>
      </c>
      <c r="N72" s="59">
        <f>ROUND(B!O72/2,2)</f>
        <v>14.35</v>
      </c>
      <c r="P72" s="59">
        <f>ROUND(B!Q72/2,2)</f>
        <v>31.07</v>
      </c>
      <c r="Q72" s="59">
        <f>ROUND(B!R72/2,2)</f>
        <v>27.95</v>
      </c>
      <c r="R72" s="59">
        <f>ROUND(B!S72/2,2)</f>
        <v>24.84</v>
      </c>
      <c r="S72" s="59">
        <f>ROUND(B!T72/2,2)</f>
        <v>21.73</v>
      </c>
      <c r="T72" s="59">
        <f>ROUND(B!U72/2,2)</f>
        <v>18.62</v>
      </c>
      <c r="V72" s="540">
        <f>ROUND(B!X72/2,2)</f>
        <v>16.82</v>
      </c>
      <c r="AE72" s="85"/>
      <c r="AJ72"/>
    </row>
    <row r="73" spans="1:36" ht="15" thickBot="1">
      <c r="A73" s="54">
        <f t="shared" si="0"/>
        <v>65</v>
      </c>
      <c r="C73" s="59">
        <f>ROUND(B!C73/2,2)</f>
        <v>37.17</v>
      </c>
      <c r="D73" s="59">
        <f>ROUND(B!D73/2,2)</f>
        <v>34.32</v>
      </c>
      <c r="E73" s="59">
        <f>ROUND(B!E73/2,2)</f>
        <v>34.32</v>
      </c>
      <c r="G73" s="59">
        <f>ROUND(B!G73/2,2)</f>
        <v>34.32</v>
      </c>
      <c r="H73" s="59">
        <f>ROUND(B!H73/2,2)</f>
        <v>22.88</v>
      </c>
      <c r="I73" s="59">
        <f>ROUND(B!I73/2,2)</f>
        <v>20.91</v>
      </c>
      <c r="J73" s="59">
        <f>ROUND(B!J73/2,2)</f>
        <v>18.940000000000001</v>
      </c>
      <c r="K73" s="59">
        <f>ROUND(B!K73/2,2)</f>
        <v>16.97</v>
      </c>
      <c r="L73" s="59">
        <f>ROUND(B!L73/2,2)</f>
        <v>15.55</v>
      </c>
      <c r="N73" s="59">
        <f>ROUND(B!O73/2,2)</f>
        <v>14.35</v>
      </c>
      <c r="P73" s="59">
        <f>ROUND(B!Q73/2,2)</f>
        <v>31.46</v>
      </c>
      <c r="Q73" s="59">
        <f>ROUND(B!R73/2,2)</f>
        <v>28.27</v>
      </c>
      <c r="R73" s="59">
        <f>ROUND(B!S73/2,2)</f>
        <v>25.08</v>
      </c>
      <c r="S73" s="59">
        <f>ROUND(B!T73/2,2)</f>
        <v>21.88</v>
      </c>
      <c r="T73" s="59">
        <f>ROUND(B!U73/2,2)</f>
        <v>18.690000000000001</v>
      </c>
      <c r="V73" s="540">
        <f>ROUND(B!X73/2,2)</f>
        <v>16.82</v>
      </c>
      <c r="AE73" s="85"/>
      <c r="AJ73"/>
    </row>
    <row r="74" spans="1:36" ht="15" thickBot="1">
      <c r="A74" s="54">
        <f t="shared" si="0"/>
        <v>66</v>
      </c>
      <c r="C74" s="59">
        <f>ROUND(B!C74/2,2)</f>
        <v>37.61</v>
      </c>
      <c r="D74" s="59">
        <f>ROUND(B!D74/2,2)</f>
        <v>34.72</v>
      </c>
      <c r="E74" s="59">
        <f>ROUND(B!E74/2,2)</f>
        <v>34.72</v>
      </c>
      <c r="G74" s="59">
        <f>ROUND(B!G74/2,2)</f>
        <v>34.5</v>
      </c>
      <c r="H74" s="59">
        <f>ROUND(B!H74/2,2)</f>
        <v>23</v>
      </c>
      <c r="I74" s="59">
        <f>ROUND(B!I74/2,2)</f>
        <v>21</v>
      </c>
      <c r="J74" s="59">
        <f>ROUND(B!J74/2,2)</f>
        <v>19.010000000000002</v>
      </c>
      <c r="K74" s="59">
        <f>ROUND(B!K74/2,2)</f>
        <v>17.02</v>
      </c>
      <c r="L74" s="59">
        <f>ROUND(B!L74/2,2)</f>
        <v>15.55</v>
      </c>
      <c r="N74" s="59">
        <f>ROUND(B!O74/2,2)</f>
        <v>14.35</v>
      </c>
      <c r="P74" s="59">
        <f>ROUND(B!Q74/2,2)</f>
        <v>31.62</v>
      </c>
      <c r="Q74" s="59">
        <f>ROUND(B!R74/2,2)</f>
        <v>28.4</v>
      </c>
      <c r="R74" s="59">
        <f>ROUND(B!S74/2,2)</f>
        <v>25.17</v>
      </c>
      <c r="S74" s="59">
        <f>ROUND(B!T74/2,2)</f>
        <v>21.95</v>
      </c>
      <c r="T74" s="59">
        <f>ROUND(B!U74/2,2)</f>
        <v>18.73</v>
      </c>
      <c r="V74" s="540">
        <f>ROUND(B!X74/2,2)</f>
        <v>16.82</v>
      </c>
      <c r="AE74" s="85"/>
      <c r="AJ74"/>
    </row>
    <row r="75" spans="1:36" ht="15" thickBot="1">
      <c r="A75" s="54">
        <f t="shared" ref="A75:A82" si="1">A74+1</f>
        <v>67</v>
      </c>
      <c r="C75" s="59">
        <f>ROUND(B!C75/2,2)</f>
        <v>38.1</v>
      </c>
      <c r="D75" s="59">
        <f>ROUND(B!D75/2,2)</f>
        <v>35.17</v>
      </c>
      <c r="E75" s="59">
        <f>ROUND(B!E75/2,2)</f>
        <v>35.17</v>
      </c>
      <c r="G75" s="59">
        <f>ROUND(B!G75/2,2)</f>
        <v>34.5</v>
      </c>
      <c r="H75" s="59">
        <f>ROUND(B!H75/2,2)</f>
        <v>23</v>
      </c>
      <c r="I75" s="59">
        <f>ROUND(B!I75/2,2)</f>
        <v>21</v>
      </c>
      <c r="J75" s="59">
        <f>ROUND(B!J75/2,2)</f>
        <v>19.010000000000002</v>
      </c>
      <c r="K75" s="59">
        <f>ROUND(B!K75/2,2)</f>
        <v>17.02</v>
      </c>
      <c r="L75" s="59">
        <f>ROUND(B!L75/2,2)</f>
        <v>15.55</v>
      </c>
      <c r="N75" s="59">
        <f>ROUND(B!O75/2,2)</f>
        <v>14.35</v>
      </c>
      <c r="P75" s="59">
        <f>ROUND(B!Q75/2,2)</f>
        <v>31.62</v>
      </c>
      <c r="Q75" s="59">
        <f>ROUND(B!R75/2,2)</f>
        <v>28.4</v>
      </c>
      <c r="R75" s="59">
        <f>ROUND(B!S75/2,2)</f>
        <v>25.17</v>
      </c>
      <c r="S75" s="59">
        <f>ROUND(B!T75/2,2)</f>
        <v>21.95</v>
      </c>
      <c r="T75" s="59">
        <f>ROUND(B!U75/2,2)</f>
        <v>18.73</v>
      </c>
      <c r="V75" s="540">
        <f>ROUND(B!X75/2,2)</f>
        <v>16.82</v>
      </c>
      <c r="AE75" s="85"/>
      <c r="AJ75"/>
    </row>
    <row r="76" spans="1:36" ht="15" thickBot="1">
      <c r="A76" s="54">
        <f t="shared" si="1"/>
        <v>68</v>
      </c>
      <c r="C76" s="59">
        <f>ROUND(B!C76/2,2)</f>
        <v>38.58</v>
      </c>
      <c r="D76" s="59">
        <f>ROUND(B!D76/2,2)</f>
        <v>35.619999999999997</v>
      </c>
      <c r="E76" s="59">
        <f>ROUND(B!E76/2,2)</f>
        <v>35.619999999999997</v>
      </c>
      <c r="G76" s="59">
        <f>ROUND(B!G76/2,2)</f>
        <v>34.5</v>
      </c>
      <c r="H76" s="59">
        <f>ROUND(B!H76/2,2)</f>
        <v>23</v>
      </c>
      <c r="I76" s="59">
        <f>ROUND(B!I76/2,2)</f>
        <v>21</v>
      </c>
      <c r="J76" s="59">
        <f>ROUND(B!J76/2,2)</f>
        <v>19.010000000000002</v>
      </c>
      <c r="K76" s="59">
        <f>ROUND(B!K76/2,2)</f>
        <v>17.02</v>
      </c>
      <c r="L76" s="59">
        <f>ROUND(B!L76/2,2)</f>
        <v>15.55</v>
      </c>
      <c r="N76" s="59">
        <f>ROUND(B!O76/2,2)</f>
        <v>14.35</v>
      </c>
      <c r="P76" s="59">
        <f>ROUND(B!Q76/2,2)</f>
        <v>31.62</v>
      </c>
      <c r="Q76" s="59">
        <f>ROUND(B!R76/2,2)</f>
        <v>28.4</v>
      </c>
      <c r="R76" s="59">
        <f>ROUND(B!S76/2,2)</f>
        <v>25.17</v>
      </c>
      <c r="S76" s="59">
        <f>ROUND(B!T76/2,2)</f>
        <v>21.95</v>
      </c>
      <c r="T76" s="59">
        <f>ROUND(B!U76/2,2)</f>
        <v>18.73</v>
      </c>
      <c r="V76" s="540">
        <f>ROUND(B!X76/2,2)</f>
        <v>16.82</v>
      </c>
      <c r="AE76" s="85"/>
      <c r="AJ76"/>
    </row>
    <row r="77" spans="1:36" ht="15" thickBot="1">
      <c r="A77" s="54">
        <f t="shared" si="1"/>
        <v>69</v>
      </c>
      <c r="C77" s="59">
        <f>ROUND(B!C77/2,2)</f>
        <v>39.07</v>
      </c>
      <c r="D77" s="59">
        <f>ROUND(B!D77/2,2)</f>
        <v>36.07</v>
      </c>
      <c r="E77" s="59">
        <f>ROUND(B!E77/2,2)</f>
        <v>36.07</v>
      </c>
      <c r="G77" s="59">
        <f>ROUND(B!G77/2,2)</f>
        <v>34.5</v>
      </c>
      <c r="H77" s="59">
        <f>ROUND(B!H77/2,2)</f>
        <v>23</v>
      </c>
      <c r="I77" s="59">
        <f>ROUND(B!I77/2,2)</f>
        <v>21</v>
      </c>
      <c r="J77" s="59">
        <f>ROUND(B!J77/2,2)</f>
        <v>19.010000000000002</v>
      </c>
      <c r="K77" s="59">
        <f>ROUND(B!K77/2,2)</f>
        <v>17.02</v>
      </c>
      <c r="L77" s="59">
        <f>ROUND(B!L77/2,2)</f>
        <v>15.55</v>
      </c>
      <c r="N77" s="59">
        <f>ROUND(B!O77/2,2)</f>
        <v>14.35</v>
      </c>
      <c r="P77" s="59">
        <f>ROUND(B!Q77/2,2)</f>
        <v>31.62</v>
      </c>
      <c r="Q77" s="59">
        <f>ROUND(B!R77/2,2)</f>
        <v>28.4</v>
      </c>
      <c r="R77" s="59">
        <f>ROUND(B!S77/2,2)</f>
        <v>25.17</v>
      </c>
      <c r="S77" s="59">
        <f>ROUND(B!T77/2,2)</f>
        <v>21.95</v>
      </c>
      <c r="T77" s="59">
        <f>ROUND(B!U77/2,2)</f>
        <v>18.73</v>
      </c>
      <c r="V77" s="540">
        <f>ROUND(B!X77/2,2)</f>
        <v>16.82</v>
      </c>
      <c r="AE77" s="85"/>
      <c r="AJ77"/>
    </row>
    <row r="78" spans="1:36" ht="15" thickBot="1">
      <c r="A78" s="54">
        <f t="shared" si="1"/>
        <v>70</v>
      </c>
      <c r="C78" s="59">
        <f>ROUND(B!C78/2,2)</f>
        <v>39.39</v>
      </c>
      <c r="D78" s="59">
        <f>ROUND(B!D78/2,2)</f>
        <v>36.36</v>
      </c>
      <c r="E78" s="59">
        <f>ROUND(B!E78/2,2)</f>
        <v>36.36</v>
      </c>
      <c r="G78" s="59">
        <f>ROUND(B!G78/2,2)</f>
        <v>34.5</v>
      </c>
      <c r="H78" s="59">
        <f>ROUND(B!H78/2,2)</f>
        <v>23</v>
      </c>
      <c r="I78" s="59">
        <f>ROUND(B!I78/2,2)</f>
        <v>21</v>
      </c>
      <c r="J78" s="59">
        <f>ROUND(B!J78/2,2)</f>
        <v>19.010000000000002</v>
      </c>
      <c r="K78" s="59">
        <f>ROUND(B!K78/2,2)</f>
        <v>17.02</v>
      </c>
      <c r="L78" s="59">
        <f>ROUND(B!L78/2,2)</f>
        <v>15.55</v>
      </c>
      <c r="N78" s="59">
        <f>ROUND(B!O78/2,2)</f>
        <v>14.35</v>
      </c>
      <c r="P78" s="59">
        <f>ROUND(B!Q78/2,2)</f>
        <v>31.62</v>
      </c>
      <c r="Q78" s="59">
        <f>ROUND(B!R78/2,2)</f>
        <v>28.4</v>
      </c>
      <c r="R78" s="59">
        <f>ROUND(B!S78/2,2)</f>
        <v>25.17</v>
      </c>
      <c r="S78" s="59">
        <f>ROUND(B!T78/2,2)</f>
        <v>21.95</v>
      </c>
      <c r="T78" s="59">
        <f>ROUND(B!U78/2,2)</f>
        <v>18.73</v>
      </c>
      <c r="V78" s="540">
        <f>ROUND(B!X78/2,2)</f>
        <v>16.82</v>
      </c>
      <c r="AE78" s="85"/>
      <c r="AJ78"/>
    </row>
    <row r="79" spans="1:36" ht="15" thickBot="1">
      <c r="A79" s="54">
        <f t="shared" si="1"/>
        <v>71</v>
      </c>
      <c r="C79" s="59">
        <f>ROUND(B!C79/2,2)</f>
        <v>39.64</v>
      </c>
      <c r="D79" s="59">
        <f>ROUND(B!D79/2,2)</f>
        <v>36.590000000000003</v>
      </c>
      <c r="E79" s="59">
        <f>ROUND(B!E79/2,2)</f>
        <v>36.590000000000003</v>
      </c>
      <c r="G79" s="59">
        <f>ROUND(B!G79/2,2)</f>
        <v>34.5</v>
      </c>
      <c r="H79" s="59">
        <f>ROUND(B!H79/2,2)</f>
        <v>23</v>
      </c>
      <c r="I79" s="59">
        <f>ROUND(B!I79/2,2)</f>
        <v>21</v>
      </c>
      <c r="J79" s="59">
        <f>ROUND(B!J79/2,2)</f>
        <v>19.010000000000002</v>
      </c>
      <c r="K79" s="59">
        <f>ROUND(B!K79/2,2)</f>
        <v>17.02</v>
      </c>
      <c r="L79" s="59">
        <f>ROUND(B!L79/2,2)</f>
        <v>15.55</v>
      </c>
      <c r="N79" s="59">
        <f>ROUND(B!O79/2,2)</f>
        <v>14.35</v>
      </c>
      <c r="P79" s="59">
        <f>ROUND(B!Q79/2,2)</f>
        <v>31.62</v>
      </c>
      <c r="Q79" s="59">
        <f>ROUND(B!R79/2,2)</f>
        <v>28.4</v>
      </c>
      <c r="R79" s="59">
        <f>ROUND(B!S79/2,2)</f>
        <v>25.17</v>
      </c>
      <c r="S79" s="59">
        <f>ROUND(B!T79/2,2)</f>
        <v>21.95</v>
      </c>
      <c r="T79" s="59">
        <f>ROUND(B!U79/2,2)</f>
        <v>18.73</v>
      </c>
      <c r="V79" s="540">
        <f>ROUND(B!X79/2,2)</f>
        <v>16.82</v>
      </c>
      <c r="AE79" s="85"/>
      <c r="AJ79"/>
    </row>
    <row r="80" spans="1:36" ht="15" thickBot="1">
      <c r="A80" s="54">
        <f t="shared" si="1"/>
        <v>72</v>
      </c>
      <c r="C80" s="59">
        <f>ROUND(B!C80/2,2)</f>
        <v>39.89</v>
      </c>
      <c r="D80" s="59">
        <f>ROUND(B!D80/2,2)</f>
        <v>36.82</v>
      </c>
      <c r="E80" s="59">
        <f>ROUND(B!E80/2,2)</f>
        <v>36.82</v>
      </c>
      <c r="G80" s="59">
        <f>ROUND(B!G80/2,2)</f>
        <v>34.5</v>
      </c>
      <c r="H80" s="59">
        <f>ROUND(B!H80/2,2)</f>
        <v>23</v>
      </c>
      <c r="I80" s="59">
        <f>ROUND(B!I80/2,2)</f>
        <v>21</v>
      </c>
      <c r="J80" s="59">
        <f>ROUND(B!J80/2,2)</f>
        <v>19.010000000000002</v>
      </c>
      <c r="K80" s="59">
        <f>ROUND(B!K80/2,2)</f>
        <v>17.02</v>
      </c>
      <c r="L80" s="59">
        <f>ROUND(B!L80/2,2)</f>
        <v>15.55</v>
      </c>
      <c r="N80" s="59">
        <f>ROUND(B!O80/2,2)</f>
        <v>14.35</v>
      </c>
      <c r="P80" s="59">
        <f>ROUND(B!Q80/2,2)</f>
        <v>31.62</v>
      </c>
      <c r="Q80" s="59">
        <f>ROUND(B!R80/2,2)</f>
        <v>28.4</v>
      </c>
      <c r="R80" s="59">
        <f>ROUND(B!S80/2,2)</f>
        <v>25.17</v>
      </c>
      <c r="S80" s="59">
        <f>ROUND(B!T80/2,2)</f>
        <v>21.95</v>
      </c>
      <c r="T80" s="59">
        <f>ROUND(B!U80/2,2)</f>
        <v>18.73</v>
      </c>
      <c r="V80" s="540">
        <f>ROUND(B!X80/2,2)</f>
        <v>16.82</v>
      </c>
      <c r="AE80" s="85"/>
      <c r="AJ80"/>
    </row>
    <row r="81" spans="1:36" ht="15" thickBot="1">
      <c r="A81" s="54">
        <f t="shared" si="1"/>
        <v>73</v>
      </c>
      <c r="C81" s="59">
        <f>ROUND(B!C81/2,2)</f>
        <v>40.44</v>
      </c>
      <c r="D81" s="59">
        <f>ROUND(B!D81/2,2)</f>
        <v>37.33</v>
      </c>
      <c r="E81" s="59">
        <f>ROUND(B!E81/2,2)</f>
        <v>36.909999999999997</v>
      </c>
      <c r="G81" s="59">
        <f>ROUND(B!G81/2,2)</f>
        <v>34.5</v>
      </c>
      <c r="H81" s="59">
        <f>ROUND(B!H81/2,2)</f>
        <v>23</v>
      </c>
      <c r="I81" s="59">
        <f>ROUND(B!I81/2,2)</f>
        <v>21</v>
      </c>
      <c r="J81" s="59">
        <f>ROUND(B!J81/2,2)</f>
        <v>19.010000000000002</v>
      </c>
      <c r="K81" s="59">
        <f>ROUND(B!K81/2,2)</f>
        <v>17.02</v>
      </c>
      <c r="L81" s="59">
        <f>ROUND(B!L81/2,2)</f>
        <v>15.55</v>
      </c>
      <c r="N81" s="59">
        <f>ROUND(B!O81/2,2)</f>
        <v>14.35</v>
      </c>
      <c r="P81" s="59">
        <f>ROUND(B!Q81/2,2)</f>
        <v>31.62</v>
      </c>
      <c r="Q81" s="59">
        <f>ROUND(B!R81/2,2)</f>
        <v>28.4</v>
      </c>
      <c r="R81" s="59">
        <f>ROUND(B!S81/2,2)</f>
        <v>25.17</v>
      </c>
      <c r="S81" s="59">
        <f>ROUND(B!T81/2,2)</f>
        <v>21.95</v>
      </c>
      <c r="T81" s="59">
        <f>ROUND(B!U81/2,2)</f>
        <v>18.73</v>
      </c>
      <c r="V81" s="540">
        <f>ROUND(B!X81/2,2)</f>
        <v>16.82</v>
      </c>
      <c r="AE81" s="85"/>
      <c r="AJ81"/>
    </row>
    <row r="82" spans="1:36" ht="15" thickBot="1">
      <c r="A82" s="54">
        <f t="shared" si="1"/>
        <v>74</v>
      </c>
      <c r="C82" s="59">
        <f>ROUND(B!C82/2,2)</f>
        <v>40.68</v>
      </c>
      <c r="D82" s="59">
        <f>ROUND(B!D82/2,2)</f>
        <v>37.549999999999997</v>
      </c>
      <c r="E82" s="59">
        <f>ROUND(B!E82/2,2)</f>
        <v>36.909999999999997</v>
      </c>
      <c r="G82" s="59">
        <f>ROUND(B!G82/2,2)</f>
        <v>34.5</v>
      </c>
      <c r="H82" s="59">
        <f>ROUND(B!H82/2,2)</f>
        <v>23</v>
      </c>
      <c r="I82" s="59">
        <f>ROUND(B!I82/2,2)</f>
        <v>21</v>
      </c>
      <c r="J82" s="59">
        <f>ROUND(B!J82/2,2)</f>
        <v>19.010000000000002</v>
      </c>
      <c r="K82" s="59">
        <f>ROUND(B!K82/2,2)</f>
        <v>17.02</v>
      </c>
      <c r="L82" s="59">
        <f>ROUND(B!L82/2,2)</f>
        <v>15.55</v>
      </c>
      <c r="N82" s="59">
        <f>ROUND(B!O82/2,2)</f>
        <v>14.35</v>
      </c>
      <c r="P82" s="59">
        <f>ROUND(B!Q82/2,2)</f>
        <v>31.62</v>
      </c>
      <c r="Q82" s="59">
        <f>ROUND(B!R82/2,2)</f>
        <v>28.4</v>
      </c>
      <c r="R82" s="59">
        <f>ROUND(B!S82/2,2)</f>
        <v>25.17</v>
      </c>
      <c r="S82" s="59">
        <f>ROUND(B!T82/2,2)</f>
        <v>21.95</v>
      </c>
      <c r="T82" s="59">
        <f>ROUND(B!U82/2,2)</f>
        <v>18.73</v>
      </c>
      <c r="V82" s="540">
        <f>ROUND(B!X82/2,2)</f>
        <v>16.82</v>
      </c>
      <c r="AE82" s="85"/>
      <c r="AJ82"/>
    </row>
    <row r="83" spans="1:36" ht="15" thickBot="1">
      <c r="A83" s="54">
        <f>A82+1</f>
        <v>75</v>
      </c>
      <c r="C83" s="59">
        <f>ROUND(B!C83/2,2)</f>
        <v>41.19</v>
      </c>
      <c r="D83" s="59">
        <f>ROUND(B!D83/2,2)</f>
        <v>38.020000000000003</v>
      </c>
      <c r="E83" s="59">
        <f>ROUND(B!E83/2,2)</f>
        <v>36.909999999999997</v>
      </c>
      <c r="G83" s="59">
        <f>ROUND(B!G83/2,2)</f>
        <v>34.5</v>
      </c>
      <c r="H83" s="59">
        <f>ROUND(B!H83/2,2)</f>
        <v>23</v>
      </c>
      <c r="I83" s="59">
        <f>ROUND(B!I83/2,2)</f>
        <v>21</v>
      </c>
      <c r="J83" s="59">
        <f>ROUND(B!J83/2,2)</f>
        <v>19.010000000000002</v>
      </c>
      <c r="K83" s="59">
        <f>ROUND(B!K83/2,2)</f>
        <v>17.02</v>
      </c>
      <c r="L83" s="59">
        <f>ROUND(B!L83/2,2)</f>
        <v>15.55</v>
      </c>
      <c r="N83" s="59">
        <f>ROUND(B!O83/2,2)</f>
        <v>14.35</v>
      </c>
      <c r="P83" s="59">
        <f>ROUND(B!Q83/2,2)</f>
        <v>31.62</v>
      </c>
      <c r="Q83" s="59">
        <f>ROUND(B!R83/2,2)</f>
        <v>28.4</v>
      </c>
      <c r="R83" s="59">
        <f>ROUND(B!S83/2,2)</f>
        <v>25.17</v>
      </c>
      <c r="S83" s="59">
        <f>ROUND(B!T83/2,2)</f>
        <v>21.95</v>
      </c>
      <c r="T83" s="59">
        <f>ROUND(B!U83/2,2)</f>
        <v>18.73</v>
      </c>
      <c r="V83" s="540">
        <f>ROUND(B!X83/2,2)</f>
        <v>16.82</v>
      </c>
      <c r="AE83" s="85"/>
      <c r="AJ83"/>
    </row>
    <row r="84" spans="1:36" ht="15" thickBot="1">
      <c r="A84" s="54">
        <f>A83+1</f>
        <v>76</v>
      </c>
      <c r="C84" s="59">
        <f>ROUND(B!C84/2,2)</f>
        <v>41.52</v>
      </c>
      <c r="D84" s="59">
        <f>ROUND(B!D84/2,2)</f>
        <v>38.33</v>
      </c>
      <c r="E84" s="59">
        <f>ROUND(B!E84/2,2)</f>
        <v>36.909999999999997</v>
      </c>
      <c r="G84" s="59">
        <f>ROUND(B!G84/2,2)</f>
        <v>34.5</v>
      </c>
      <c r="H84" s="59">
        <f>ROUND(B!H84/2,2)</f>
        <v>23</v>
      </c>
      <c r="I84" s="59">
        <f>ROUND(B!I84/2,2)</f>
        <v>21</v>
      </c>
      <c r="J84" s="59">
        <f>ROUND(B!J84/2,2)</f>
        <v>19.010000000000002</v>
      </c>
      <c r="K84" s="59">
        <f>ROUND(B!K84/2,2)</f>
        <v>17.02</v>
      </c>
      <c r="L84" s="59">
        <f>ROUND(B!L84/2,2)</f>
        <v>15.55</v>
      </c>
      <c r="N84" s="59">
        <f>ROUND(B!O84/2,2)</f>
        <v>14.35</v>
      </c>
      <c r="P84" s="59">
        <f>ROUND(B!Q84/2,2)</f>
        <v>31.62</v>
      </c>
      <c r="Q84" s="59">
        <f>ROUND(B!R84/2,2)</f>
        <v>28.4</v>
      </c>
      <c r="R84" s="59">
        <f>ROUND(B!S84/2,2)</f>
        <v>25.17</v>
      </c>
      <c r="S84" s="59">
        <f>ROUND(B!T84/2,2)</f>
        <v>21.95</v>
      </c>
      <c r="T84" s="59">
        <f>ROUND(B!U84/2,2)</f>
        <v>18.73</v>
      </c>
      <c r="V84" s="540">
        <f>ROUND(B!X84/2,2)</f>
        <v>16.82</v>
      </c>
      <c r="AE84" s="85"/>
      <c r="AJ84"/>
    </row>
    <row r="85" spans="1:36" ht="15" thickBot="1">
      <c r="A85" s="54">
        <f>A84+1</f>
        <v>77</v>
      </c>
      <c r="C85" s="59">
        <f>ROUND(B!C85/2,2)</f>
        <v>41.98</v>
      </c>
      <c r="D85" s="59">
        <f>ROUND(B!D85/2,2)</f>
        <v>38.75</v>
      </c>
      <c r="E85" s="59">
        <f>ROUND(B!E85/2,2)</f>
        <v>36.909999999999997</v>
      </c>
      <c r="G85" s="59">
        <f>ROUND(B!G85/2,2)</f>
        <v>34.5</v>
      </c>
      <c r="H85" s="59">
        <f>ROUND(B!H85/2,2)</f>
        <v>23</v>
      </c>
      <c r="I85" s="59">
        <f>ROUND(B!I85/2,2)</f>
        <v>21</v>
      </c>
      <c r="J85" s="59">
        <f>ROUND(B!J85/2,2)</f>
        <v>19.010000000000002</v>
      </c>
      <c r="K85" s="59">
        <f>ROUND(B!K85/2,2)</f>
        <v>17.02</v>
      </c>
      <c r="L85" s="59">
        <f>ROUND(B!L85/2,2)</f>
        <v>15.55</v>
      </c>
      <c r="N85" s="59">
        <f>ROUND(B!O85/2,2)</f>
        <v>14.35</v>
      </c>
      <c r="P85" s="59">
        <f>ROUND(B!Q85/2,2)</f>
        <v>31.62</v>
      </c>
      <c r="Q85" s="59">
        <f>ROUND(B!R85/2,2)</f>
        <v>28.4</v>
      </c>
      <c r="R85" s="59">
        <f>ROUND(B!S85/2,2)</f>
        <v>25.17</v>
      </c>
      <c r="S85" s="59">
        <f>ROUND(B!T85/2,2)</f>
        <v>21.95</v>
      </c>
      <c r="T85" s="59">
        <f>ROUND(B!U85/2,2)</f>
        <v>18.73</v>
      </c>
      <c r="V85" s="540">
        <f>ROUND(B!X85/2,2)</f>
        <v>16.82</v>
      </c>
      <c r="AE85" s="85"/>
      <c r="AJ85"/>
    </row>
    <row r="86" spans="1:36" ht="15" thickBot="1">
      <c r="A86" s="54">
        <f>A85+1</f>
        <v>78</v>
      </c>
      <c r="B86" s="486"/>
      <c r="C86" s="59">
        <f>ROUND(B!C86/2,2)</f>
        <v>42.44</v>
      </c>
      <c r="D86" s="59">
        <f>ROUND(B!D86/2,2)</f>
        <v>39.18</v>
      </c>
      <c r="E86" s="59">
        <f>ROUND(B!E86/2,2)</f>
        <v>36.909999999999997</v>
      </c>
      <c r="F86" s="486"/>
      <c r="G86" s="59">
        <f>ROUND(B!G86/2,2)</f>
        <v>34.5</v>
      </c>
      <c r="H86" s="59">
        <f>ROUND(B!H86/2,2)</f>
        <v>23</v>
      </c>
      <c r="I86" s="59">
        <f>ROUND(B!I86/2,2)</f>
        <v>21</v>
      </c>
      <c r="J86" s="59">
        <f>ROUND(B!J86/2,2)</f>
        <v>19.010000000000002</v>
      </c>
      <c r="K86" s="59">
        <f>ROUND(B!K86/2,2)</f>
        <v>17.02</v>
      </c>
      <c r="L86" s="59">
        <f>ROUND(B!L86/2,2)</f>
        <v>15.55</v>
      </c>
      <c r="M86" s="486"/>
      <c r="N86" s="59">
        <f>ROUND(B!O86/2,2)</f>
        <v>14.35</v>
      </c>
      <c r="O86" s="486"/>
      <c r="P86" s="59">
        <f>ROUND(B!Q86/2,2)</f>
        <v>31.62</v>
      </c>
      <c r="Q86" s="59">
        <f>ROUND(B!R86/2,2)</f>
        <v>28.4</v>
      </c>
      <c r="R86" s="59">
        <f>ROUND(B!S86/2,2)</f>
        <v>25.17</v>
      </c>
      <c r="S86" s="59">
        <f>ROUND(B!T86/2,2)</f>
        <v>21.95</v>
      </c>
      <c r="T86" s="59">
        <f>ROUND(B!U86/2,2)</f>
        <v>18.73</v>
      </c>
      <c r="U86" s="486"/>
      <c r="V86" s="540">
        <f>ROUND(B!X86/2,2)</f>
        <v>16.82</v>
      </c>
      <c r="AE86" s="85"/>
      <c r="AJ86"/>
    </row>
    <row r="87" spans="1:36" ht="15" thickBot="1">
      <c r="A87" s="54">
        <f>A86+1</f>
        <v>79</v>
      </c>
      <c r="B87" s="512"/>
      <c r="C87" s="59">
        <f>ROUND(B!C87/2,2)</f>
        <v>42.91</v>
      </c>
      <c r="D87" s="59">
        <f>ROUND(B!D87/2,2)</f>
        <v>39.61</v>
      </c>
      <c r="E87" s="59">
        <f>ROUND(B!E87/2,2)</f>
        <v>36.909999999999997</v>
      </c>
      <c r="F87" s="512"/>
      <c r="G87" s="59">
        <f>ROUND(B!G87/2,2)</f>
        <v>34.5</v>
      </c>
      <c r="H87" s="59">
        <f>ROUND(B!H87/2,2)</f>
        <v>23</v>
      </c>
      <c r="I87" s="59">
        <f>ROUND(B!I87/2,2)</f>
        <v>21</v>
      </c>
      <c r="J87" s="59">
        <f>ROUND(B!J87/2,2)</f>
        <v>19.010000000000002</v>
      </c>
      <c r="K87" s="59">
        <f>ROUND(B!K87/2,2)</f>
        <v>17.02</v>
      </c>
      <c r="L87" s="59">
        <f>ROUND(B!L87/2,2)</f>
        <v>15.55</v>
      </c>
      <c r="M87" s="512"/>
      <c r="N87" s="59">
        <f>ROUND(B!O87/2,2)</f>
        <v>14.35</v>
      </c>
      <c r="O87" s="512"/>
      <c r="P87" s="59">
        <f>ROUND(B!Q87/2,2)</f>
        <v>31.62</v>
      </c>
      <c r="Q87" s="59">
        <f>ROUND(B!R87/2,2)</f>
        <v>28.4</v>
      </c>
      <c r="R87" s="59">
        <f>ROUND(B!S87/2,2)</f>
        <v>25.17</v>
      </c>
      <c r="S87" s="59">
        <f>ROUND(B!T87/2,2)</f>
        <v>21.95</v>
      </c>
      <c r="T87" s="59">
        <f>ROUND(B!U87/2,2)</f>
        <v>18.73</v>
      </c>
      <c r="U87" s="512"/>
      <c r="V87" s="540">
        <f>ROUND(B!X87/2,2)</f>
        <v>16.82</v>
      </c>
      <c r="AE87" s="85"/>
      <c r="AJ87"/>
    </row>
  </sheetData>
  <sheetProtection algorithmName="SHA-512" hashValue="tEK9wjSjl3hmcyKOLgfNZbFtIMTjgR5soyohjK/38XU5gY1qIXe0mSuMRlsn05XsZGOsChVXXNP4K4Dl3Xg13A==" saltValue="FcL/aa5ZJqsHCpSsDFGmrA==" spinCount="100000" sheet="1" objects="1" scenarios="1"/>
  <mergeCells count="10">
    <mergeCell ref="AA1:AB1"/>
    <mergeCell ref="C3:E3"/>
    <mergeCell ref="G3:L3"/>
    <mergeCell ref="P3:T3"/>
    <mergeCell ref="C4:E4"/>
    <mergeCell ref="H4:L4"/>
    <mergeCell ref="P4:T4"/>
    <mergeCell ref="T1:V1"/>
    <mergeCell ref="C1:S1"/>
    <mergeCell ref="C2:S2"/>
  </mergeCells>
  <conditionalFormatting sqref="N9:N87 P9:T87 V9:V87 C9:E87 G9:L87">
    <cfRule type="expression" dxfId="9" priority="5">
      <formula>MOD(INDIRECT(ADDRESS(ROW(),1)),5)=0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&amp;LRijksdienst voor Arbeidsvoorziening&amp;ROffice national de l'Emploi</oddFooter>
  </headerFooter>
  <colBreaks count="1" manualBreakCount="1">
    <brk id="27" max="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88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5" max="15" width="0.6640625" customWidth="1"/>
    <col min="21" max="21" width="0.6640625" customWidth="1"/>
    <col min="27" max="27" width="0.6640625" customWidth="1"/>
    <col min="29" max="29" width="0.6640625" customWidth="1"/>
  </cols>
  <sheetData>
    <row r="1" spans="1:38" ht="15" customHeight="1">
      <c r="A1" s="229" t="s">
        <v>33</v>
      </c>
      <c r="B1" s="229"/>
      <c r="C1" s="600" t="s">
        <v>233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532" t="s">
        <v>34</v>
      </c>
      <c r="T1" s="532"/>
      <c r="U1" s="71"/>
      <c r="V1" s="497">
        <f>Basisbedragen!$H$2</f>
        <v>1.7410000000000001</v>
      </c>
      <c r="AA1" s="601"/>
      <c r="AB1" s="601"/>
      <c r="AC1" s="228"/>
      <c r="AD1" s="228"/>
      <c r="AF1" s="85"/>
    </row>
    <row r="2" spans="1:38" ht="15.6">
      <c r="A2" s="492">
        <f>A!A2</f>
        <v>45689</v>
      </c>
      <c r="B2" s="230"/>
      <c r="C2" s="600" t="s">
        <v>234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111"/>
      <c r="T2" s="111"/>
      <c r="U2" s="45"/>
      <c r="V2" s="45"/>
      <c r="W2" s="45"/>
      <c r="X2" s="45"/>
      <c r="Y2" s="45"/>
      <c r="Z2" s="45"/>
      <c r="AA2" s="45"/>
      <c r="AL2" s="85"/>
    </row>
    <row r="3" spans="1:38" ht="15" thickBot="1">
      <c r="A3" s="46"/>
      <c r="B3" s="46"/>
      <c r="C3" s="597" t="s">
        <v>47</v>
      </c>
      <c r="D3" s="597"/>
      <c r="E3" s="597"/>
      <c r="F3" s="435"/>
      <c r="G3" s="435"/>
      <c r="H3" s="597" t="s">
        <v>60</v>
      </c>
      <c r="I3" s="597"/>
      <c r="J3" s="597"/>
      <c r="K3" s="597"/>
      <c r="L3" s="597"/>
      <c r="M3" s="435"/>
      <c r="N3" s="435" t="s">
        <v>37</v>
      </c>
      <c r="O3" s="435"/>
      <c r="P3" s="598" t="s">
        <v>50</v>
      </c>
      <c r="Q3" s="598"/>
      <c r="R3" s="598"/>
      <c r="S3" s="598"/>
      <c r="T3" s="598"/>
      <c r="U3" s="435"/>
      <c r="V3" s="430" t="s">
        <v>37</v>
      </c>
      <c r="AC3" s="82"/>
      <c r="AL3" s="85"/>
    </row>
    <row r="4" spans="1:38" ht="26.25" customHeight="1" thickBot="1">
      <c r="A4" s="46"/>
      <c r="B4" s="46"/>
      <c r="C4" s="605"/>
      <c r="D4" s="605"/>
      <c r="E4" s="605"/>
      <c r="F4" s="435"/>
      <c r="G4" s="435"/>
      <c r="H4" s="597"/>
      <c r="I4" s="597"/>
      <c r="J4" s="597"/>
      <c r="K4" s="597"/>
      <c r="L4" s="597"/>
      <c r="M4" s="435"/>
      <c r="N4" s="436" t="s">
        <v>49</v>
      </c>
      <c r="O4" s="435"/>
      <c r="P4" s="602" t="s">
        <v>38</v>
      </c>
      <c r="Q4" s="606"/>
      <c r="R4" s="606"/>
      <c r="S4" s="606"/>
      <c r="T4" s="607"/>
      <c r="U4" s="434"/>
      <c r="V4" s="436" t="s">
        <v>56</v>
      </c>
      <c r="AL4" s="85"/>
    </row>
    <row r="5" spans="1:38" s="101" customFormat="1" ht="41.4" thickBot="1">
      <c r="A5" s="91" t="s">
        <v>35</v>
      </c>
      <c r="B5"/>
      <c r="C5" s="55" t="s">
        <v>12</v>
      </c>
      <c r="D5" s="56" t="s">
        <v>11</v>
      </c>
      <c r="E5" s="55" t="s">
        <v>13</v>
      </c>
      <c r="F5"/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M5"/>
      <c r="N5" s="56" t="s">
        <v>62</v>
      </c>
      <c r="O5"/>
      <c r="P5" s="56" t="s">
        <v>267</v>
      </c>
      <c r="Q5" s="56" t="s">
        <v>39</v>
      </c>
      <c r="R5" s="56" t="s">
        <v>40</v>
      </c>
      <c r="S5" s="56" t="s">
        <v>41</v>
      </c>
      <c r="T5" s="56" t="s">
        <v>42</v>
      </c>
      <c r="U5"/>
      <c r="V5" s="56" t="s">
        <v>63</v>
      </c>
      <c r="W5"/>
      <c r="X5"/>
      <c r="Y5"/>
      <c r="Z5"/>
      <c r="AA5"/>
      <c r="AB5"/>
      <c r="AC5"/>
    </row>
    <row r="6" spans="1:38" ht="15" hidden="1" thickBot="1">
      <c r="A6" s="76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N6" s="76"/>
      <c r="P6" s="76"/>
      <c r="Q6" s="76">
        <v>1</v>
      </c>
      <c r="R6" s="76">
        <v>2</v>
      </c>
      <c r="S6" s="76">
        <v>3</v>
      </c>
      <c r="T6" s="76">
        <v>4</v>
      </c>
      <c r="V6" s="92"/>
    </row>
    <row r="7" spans="1:38" s="82" customFormat="1" ht="15" thickBot="1">
      <c r="A7" s="102"/>
      <c r="B7"/>
      <c r="C7" s="103">
        <v>0.65</v>
      </c>
      <c r="D7" s="104">
        <v>0.6</v>
      </c>
      <c r="E7" s="104">
        <v>0.6</v>
      </c>
      <c r="F7"/>
      <c r="G7" s="104">
        <v>0.6</v>
      </c>
      <c r="H7" s="104">
        <v>0.4</v>
      </c>
      <c r="I7" s="102"/>
      <c r="J7" s="102"/>
      <c r="K7" s="102"/>
      <c r="L7" s="102"/>
      <c r="M7"/>
      <c r="N7" s="102"/>
      <c r="O7"/>
      <c r="P7" s="104">
        <v>0.55000000000000004</v>
      </c>
      <c r="Q7" s="102"/>
      <c r="R7" s="102"/>
      <c r="S7" s="102"/>
      <c r="T7" s="102"/>
      <c r="U7"/>
      <c r="V7" s="93"/>
      <c r="W7"/>
      <c r="X7"/>
      <c r="Y7"/>
      <c r="Z7"/>
      <c r="AA7"/>
      <c r="AB7"/>
      <c r="AC7"/>
    </row>
    <row r="8" spans="1:38" s="227" customFormat="1" ht="15" thickBot="1">
      <c r="A8" s="94" t="s">
        <v>4</v>
      </c>
      <c r="B8"/>
      <c r="C8" s="98">
        <f>ROUND(B!C8/2,2)</f>
        <v>26.61</v>
      </c>
      <c r="D8" s="98">
        <f>ROUND(B!D8/2,2)</f>
        <v>24.57</v>
      </c>
      <c r="E8" s="98">
        <f>ROUND(B!E8/2,2)</f>
        <v>24.57</v>
      </c>
      <c r="F8"/>
      <c r="G8" s="98">
        <f>ROUND(B!G8/2,2)</f>
        <v>24.57</v>
      </c>
      <c r="H8" s="98">
        <f>ROUND(B!H8/2,2)</f>
        <v>20.36</v>
      </c>
      <c r="I8" s="98"/>
      <c r="J8" s="98"/>
      <c r="K8" s="98"/>
      <c r="L8" s="98"/>
      <c r="M8"/>
      <c r="N8" s="105"/>
      <c r="O8"/>
      <c r="P8" s="98">
        <f>ROUND('B+'!Q8/2,2)</f>
        <v>27.28</v>
      </c>
      <c r="Q8" s="98">
        <f>MIN(Q10:Q81)</f>
        <v>25.74</v>
      </c>
      <c r="R8" s="98">
        <f>MIN(R10:R81)</f>
        <v>24.2</v>
      </c>
      <c r="S8" s="98">
        <f>MIN(S10:S81)</f>
        <v>22.66</v>
      </c>
      <c r="T8" s="98">
        <f>MIN(T10:T81)</f>
        <v>22.35</v>
      </c>
      <c r="U8"/>
      <c r="V8" s="98"/>
      <c r="W8"/>
      <c r="X8"/>
      <c r="Y8"/>
      <c r="Z8"/>
      <c r="AA8"/>
      <c r="AB8"/>
      <c r="AC8"/>
    </row>
    <row r="9" spans="1:38" s="227" customFormat="1" ht="15" thickBot="1">
      <c r="A9" s="94" t="s">
        <v>61</v>
      </c>
      <c r="B9"/>
      <c r="C9" s="98"/>
      <c r="D9" s="98"/>
      <c r="E9" s="98"/>
      <c r="F9"/>
      <c r="G9" s="98"/>
      <c r="H9" s="98"/>
      <c r="I9" s="98">
        <f>ROUND('B+'!I9/2,2)</f>
        <v>19.88</v>
      </c>
      <c r="J9" s="98">
        <f>$I$9</f>
        <v>19.88</v>
      </c>
      <c r="K9" s="98">
        <f>$I$9</f>
        <v>19.88</v>
      </c>
      <c r="L9" s="98">
        <f>$I$9</f>
        <v>19.88</v>
      </c>
      <c r="M9"/>
      <c r="N9" s="105"/>
      <c r="O9"/>
      <c r="P9" s="98"/>
      <c r="Q9" s="98"/>
      <c r="R9" s="98"/>
      <c r="S9" s="98"/>
      <c r="T9" s="98"/>
      <c r="U9"/>
      <c r="V9" s="59"/>
      <c r="W9"/>
      <c r="X9"/>
      <c r="Y9"/>
      <c r="Z9"/>
      <c r="AA9"/>
      <c r="AB9"/>
      <c r="AC9"/>
    </row>
    <row r="10" spans="1:38" ht="15" hidden="1" outlineLevel="1" thickBot="1">
      <c r="A10" s="364">
        <v>1</v>
      </c>
      <c r="C10" s="316">
        <f>ROUND('B+'!C10/2,2)</f>
        <v>26.61</v>
      </c>
      <c r="D10" s="316">
        <f>ROUND('B+'!D10/2,2)</f>
        <v>24.57</v>
      </c>
      <c r="E10" s="316">
        <f>ROUND('B+'!E10/2,2)</f>
        <v>24.57</v>
      </c>
      <c r="F10" s="161"/>
      <c r="G10" s="316">
        <f>ROUND('B+'!G10/2,2)</f>
        <v>24.57</v>
      </c>
      <c r="H10" s="316">
        <f>ROUND('B+'!H10/2,2)</f>
        <v>20.36</v>
      </c>
      <c r="I10" s="316">
        <f>ROUND('B+'!I10/2,2)</f>
        <v>19.88</v>
      </c>
      <c r="J10" s="316">
        <f>ROUND('B+'!J10/2,2)</f>
        <v>19.88</v>
      </c>
      <c r="K10" s="316">
        <f>ROUND('B+'!K10/2,2)</f>
        <v>19.88</v>
      </c>
      <c r="L10" s="316">
        <f>ROUND('B+'!L10/2,2)</f>
        <v>19.88</v>
      </c>
      <c r="M10" s="161"/>
      <c r="N10" s="316">
        <f>ROUND('B+'!O10/2,2)</f>
        <v>19.88</v>
      </c>
      <c r="O10" s="161"/>
      <c r="P10" s="316">
        <f>ROUND('B+'!Q10/2,2)</f>
        <v>27.28</v>
      </c>
      <c r="Q10" s="316">
        <f>ROUND('B+'!R10/2,2)</f>
        <v>25.74</v>
      </c>
      <c r="R10" s="316">
        <f>ROUND('B+'!S10/2,2)</f>
        <v>24.2</v>
      </c>
      <c r="S10" s="316">
        <f>ROUND('B+'!T10/2,2)</f>
        <v>22.66</v>
      </c>
      <c r="T10" s="316">
        <f>ROUND('B+'!U10/2,2)</f>
        <v>22.35</v>
      </c>
      <c r="U10" s="161"/>
      <c r="V10" s="59">
        <f>ROUND('B+'!X10/2,2)</f>
        <v>22.35</v>
      </c>
      <c r="AC10" s="161"/>
    </row>
    <row r="11" spans="1:38" ht="15" hidden="1" outlineLevel="1" thickBot="1">
      <c r="A11" s="364">
        <f>A10+1</f>
        <v>2</v>
      </c>
      <c r="C11" s="316">
        <f>ROUND('B+'!C11/2,2)</f>
        <v>26.61</v>
      </c>
      <c r="D11" s="316">
        <f>ROUND('B+'!D11/2,2)</f>
        <v>24.57</v>
      </c>
      <c r="E11" s="316">
        <f>ROUND('B+'!E11/2,2)</f>
        <v>24.57</v>
      </c>
      <c r="F11" s="161"/>
      <c r="G11" s="316">
        <f>ROUND('B+'!G11/2,2)</f>
        <v>24.57</v>
      </c>
      <c r="H11" s="316">
        <f>ROUND('B+'!H11/2,2)</f>
        <v>20.36</v>
      </c>
      <c r="I11" s="316">
        <f>ROUND('B+'!I11/2,2)</f>
        <v>19.88</v>
      </c>
      <c r="J11" s="316">
        <f>ROUND('B+'!J11/2,2)</f>
        <v>19.88</v>
      </c>
      <c r="K11" s="316">
        <f>ROUND('B+'!K11/2,2)</f>
        <v>19.88</v>
      </c>
      <c r="L11" s="316">
        <f>ROUND('B+'!L11/2,2)</f>
        <v>19.88</v>
      </c>
      <c r="M11" s="161"/>
      <c r="N11" s="316">
        <f>ROUND('B+'!O11/2,2)</f>
        <v>19.88</v>
      </c>
      <c r="O11" s="161"/>
      <c r="P11" s="316">
        <f>ROUND('B+'!Q11/2,2)</f>
        <v>27.28</v>
      </c>
      <c r="Q11" s="316">
        <f>ROUND('B+'!R11/2,2)</f>
        <v>25.74</v>
      </c>
      <c r="R11" s="316">
        <f>ROUND('B+'!S11/2,2)</f>
        <v>24.2</v>
      </c>
      <c r="S11" s="316">
        <f>ROUND('B+'!T11/2,2)</f>
        <v>22.66</v>
      </c>
      <c r="T11" s="316">
        <f>ROUND('B+'!U11/2,2)</f>
        <v>22.35</v>
      </c>
      <c r="U11" s="161"/>
      <c r="V11" s="59">
        <f>ROUND('B+'!X11/2,2)</f>
        <v>22.35</v>
      </c>
      <c r="AC11" s="161"/>
    </row>
    <row r="12" spans="1:38" ht="15" hidden="1" outlineLevel="1" thickBot="1">
      <c r="A12" s="364">
        <f t="shared" ref="A12:A75" si="0">A11+1</f>
        <v>3</v>
      </c>
      <c r="C12" s="316">
        <f>ROUND('B+'!C12/2,2)</f>
        <v>26.61</v>
      </c>
      <c r="D12" s="316">
        <f>ROUND('B+'!D12/2,2)</f>
        <v>24.57</v>
      </c>
      <c r="E12" s="316">
        <f>ROUND('B+'!E12/2,2)</f>
        <v>24.57</v>
      </c>
      <c r="F12" s="161"/>
      <c r="G12" s="316">
        <f>ROUND('B+'!G12/2,2)</f>
        <v>24.57</v>
      </c>
      <c r="H12" s="316">
        <f>ROUND('B+'!H12/2,2)</f>
        <v>20.36</v>
      </c>
      <c r="I12" s="316">
        <f>ROUND('B+'!I12/2,2)</f>
        <v>19.88</v>
      </c>
      <c r="J12" s="316">
        <f>ROUND('B+'!J12/2,2)</f>
        <v>19.88</v>
      </c>
      <c r="K12" s="316">
        <f>ROUND('B+'!K12/2,2)</f>
        <v>19.88</v>
      </c>
      <c r="L12" s="316">
        <f>ROUND('B+'!L12/2,2)</f>
        <v>19.88</v>
      </c>
      <c r="M12" s="161"/>
      <c r="N12" s="316">
        <f>ROUND('B+'!O12/2,2)</f>
        <v>19.88</v>
      </c>
      <c r="O12" s="161"/>
      <c r="P12" s="316">
        <f>ROUND('B+'!Q12/2,2)</f>
        <v>27.28</v>
      </c>
      <c r="Q12" s="316">
        <f>ROUND('B+'!R12/2,2)</f>
        <v>25.74</v>
      </c>
      <c r="R12" s="316">
        <f>ROUND('B+'!S12/2,2)</f>
        <v>24.2</v>
      </c>
      <c r="S12" s="316">
        <f>ROUND('B+'!T12/2,2)</f>
        <v>22.66</v>
      </c>
      <c r="T12" s="316">
        <f>ROUND('B+'!U12/2,2)</f>
        <v>22.35</v>
      </c>
      <c r="U12" s="161"/>
      <c r="V12" s="59">
        <f>ROUND('B+'!X12/2,2)</f>
        <v>22.35</v>
      </c>
      <c r="AC12" s="161"/>
    </row>
    <row r="13" spans="1:38" ht="15" hidden="1" outlineLevel="1" thickBot="1">
      <c r="A13" s="364">
        <f t="shared" si="0"/>
        <v>4</v>
      </c>
      <c r="C13" s="316">
        <f>ROUND('B+'!C13/2,2)</f>
        <v>26.61</v>
      </c>
      <c r="D13" s="316">
        <f>ROUND('B+'!D13/2,2)</f>
        <v>24.57</v>
      </c>
      <c r="E13" s="316">
        <f>ROUND('B+'!E13/2,2)</f>
        <v>24.57</v>
      </c>
      <c r="F13" s="161"/>
      <c r="G13" s="316">
        <f>ROUND('B+'!G13/2,2)</f>
        <v>24.57</v>
      </c>
      <c r="H13" s="316">
        <f>ROUND('B+'!H13/2,2)</f>
        <v>20.36</v>
      </c>
      <c r="I13" s="316">
        <f>ROUND('B+'!I13/2,2)</f>
        <v>19.88</v>
      </c>
      <c r="J13" s="316">
        <f>ROUND('B+'!J13/2,2)</f>
        <v>19.88</v>
      </c>
      <c r="K13" s="316">
        <f>ROUND('B+'!K13/2,2)</f>
        <v>19.88</v>
      </c>
      <c r="L13" s="316">
        <f>ROUND('B+'!L13/2,2)</f>
        <v>19.88</v>
      </c>
      <c r="M13" s="161"/>
      <c r="N13" s="316">
        <f>ROUND('B+'!O13/2,2)</f>
        <v>19.88</v>
      </c>
      <c r="O13" s="161"/>
      <c r="P13" s="316">
        <f>ROUND('B+'!Q13/2,2)</f>
        <v>27.28</v>
      </c>
      <c r="Q13" s="316">
        <f>ROUND('B+'!R13/2,2)</f>
        <v>25.74</v>
      </c>
      <c r="R13" s="316">
        <f>ROUND('B+'!S13/2,2)</f>
        <v>24.2</v>
      </c>
      <c r="S13" s="316">
        <f>ROUND('B+'!T13/2,2)</f>
        <v>22.66</v>
      </c>
      <c r="T13" s="316">
        <f>ROUND('B+'!U13/2,2)</f>
        <v>22.35</v>
      </c>
      <c r="U13" s="161"/>
      <c r="V13" s="59">
        <f>ROUND('B+'!X13/2,2)</f>
        <v>22.35</v>
      </c>
      <c r="AC13" s="161"/>
    </row>
    <row r="14" spans="1:38" ht="15" hidden="1" outlineLevel="1" thickBot="1">
      <c r="A14" s="364">
        <f t="shared" si="0"/>
        <v>5</v>
      </c>
      <c r="C14" s="316">
        <f>ROUND('B+'!C14/2,2)</f>
        <v>26.61</v>
      </c>
      <c r="D14" s="316">
        <f>ROUND('B+'!D14/2,2)</f>
        <v>24.57</v>
      </c>
      <c r="E14" s="316">
        <f>ROUND('B+'!E14/2,2)</f>
        <v>24.57</v>
      </c>
      <c r="F14" s="161"/>
      <c r="G14" s="316">
        <f>ROUND('B+'!G14/2,2)</f>
        <v>24.57</v>
      </c>
      <c r="H14" s="316">
        <f>ROUND('B+'!H14/2,2)</f>
        <v>20.36</v>
      </c>
      <c r="I14" s="316">
        <f>ROUND('B+'!I14/2,2)</f>
        <v>19.88</v>
      </c>
      <c r="J14" s="316">
        <f>ROUND('B+'!J14/2,2)</f>
        <v>19.88</v>
      </c>
      <c r="K14" s="316">
        <f>ROUND('B+'!K14/2,2)</f>
        <v>19.88</v>
      </c>
      <c r="L14" s="316">
        <f>ROUND('B+'!L14/2,2)</f>
        <v>19.88</v>
      </c>
      <c r="M14" s="161"/>
      <c r="N14" s="316">
        <f>ROUND('B+'!O14/2,2)</f>
        <v>19.88</v>
      </c>
      <c r="O14" s="161"/>
      <c r="P14" s="316">
        <f>ROUND('B+'!Q14/2,2)</f>
        <v>27.28</v>
      </c>
      <c r="Q14" s="316">
        <f>ROUND('B+'!R14/2,2)</f>
        <v>25.74</v>
      </c>
      <c r="R14" s="316">
        <f>ROUND('B+'!S14/2,2)</f>
        <v>24.2</v>
      </c>
      <c r="S14" s="316">
        <f>ROUND('B+'!T14/2,2)</f>
        <v>22.66</v>
      </c>
      <c r="T14" s="316">
        <f>ROUND('B+'!U14/2,2)</f>
        <v>22.35</v>
      </c>
      <c r="U14" s="161"/>
      <c r="V14" s="59">
        <f>ROUND('B+'!X14/2,2)</f>
        <v>22.35</v>
      </c>
      <c r="AC14" s="161"/>
    </row>
    <row r="15" spans="1:38" ht="15" hidden="1" outlineLevel="1" thickBot="1">
      <c r="A15" s="364">
        <f t="shared" si="0"/>
        <v>6</v>
      </c>
      <c r="C15" s="316">
        <f>ROUND('B+'!C15/2,2)</f>
        <v>26.61</v>
      </c>
      <c r="D15" s="316">
        <f>ROUND('B+'!D15/2,2)</f>
        <v>24.57</v>
      </c>
      <c r="E15" s="316">
        <f>ROUND('B+'!E15/2,2)</f>
        <v>24.57</v>
      </c>
      <c r="F15" s="161"/>
      <c r="G15" s="316">
        <f>ROUND('B+'!G15/2,2)</f>
        <v>24.57</v>
      </c>
      <c r="H15" s="316">
        <f>ROUND('B+'!H15/2,2)</f>
        <v>20.36</v>
      </c>
      <c r="I15" s="316">
        <f>ROUND('B+'!I15/2,2)</f>
        <v>19.88</v>
      </c>
      <c r="J15" s="316">
        <f>ROUND('B+'!J15/2,2)</f>
        <v>19.88</v>
      </c>
      <c r="K15" s="316">
        <f>ROUND('B+'!K15/2,2)</f>
        <v>19.88</v>
      </c>
      <c r="L15" s="316">
        <f>ROUND('B+'!L15/2,2)</f>
        <v>19.88</v>
      </c>
      <c r="M15" s="161"/>
      <c r="N15" s="316">
        <f>ROUND('B+'!O15/2,2)</f>
        <v>19.88</v>
      </c>
      <c r="O15" s="161"/>
      <c r="P15" s="316">
        <f>ROUND('B+'!Q15/2,2)</f>
        <v>27.28</v>
      </c>
      <c r="Q15" s="316">
        <f>ROUND('B+'!R15/2,2)</f>
        <v>25.74</v>
      </c>
      <c r="R15" s="316">
        <f>ROUND('B+'!S15/2,2)</f>
        <v>24.2</v>
      </c>
      <c r="S15" s="316">
        <f>ROUND('B+'!T15/2,2)</f>
        <v>22.66</v>
      </c>
      <c r="T15" s="316">
        <f>ROUND('B+'!U15/2,2)</f>
        <v>22.35</v>
      </c>
      <c r="U15" s="161"/>
      <c r="V15" s="59">
        <f>ROUND('B+'!X15/2,2)</f>
        <v>22.35</v>
      </c>
      <c r="AC15" s="161"/>
    </row>
    <row r="16" spans="1:38" ht="15" hidden="1" outlineLevel="1" thickBot="1">
      <c r="A16" s="364">
        <f t="shared" si="0"/>
        <v>7</v>
      </c>
      <c r="C16" s="316">
        <f>ROUND('B+'!C16/2,2)</f>
        <v>26.61</v>
      </c>
      <c r="D16" s="316">
        <f>ROUND('B+'!D16/2,2)</f>
        <v>24.57</v>
      </c>
      <c r="E16" s="316">
        <f>ROUND('B+'!E16/2,2)</f>
        <v>24.57</v>
      </c>
      <c r="F16" s="161"/>
      <c r="G16" s="316">
        <f>ROUND('B+'!G16/2,2)</f>
        <v>24.57</v>
      </c>
      <c r="H16" s="316">
        <f>ROUND('B+'!H16/2,2)</f>
        <v>20.36</v>
      </c>
      <c r="I16" s="316">
        <f>ROUND('B+'!I16/2,2)</f>
        <v>19.88</v>
      </c>
      <c r="J16" s="316">
        <f>ROUND('B+'!J16/2,2)</f>
        <v>19.88</v>
      </c>
      <c r="K16" s="316">
        <f>ROUND('B+'!K16/2,2)</f>
        <v>19.88</v>
      </c>
      <c r="L16" s="316">
        <f>ROUND('B+'!L16/2,2)</f>
        <v>19.88</v>
      </c>
      <c r="M16" s="161"/>
      <c r="N16" s="316">
        <f>ROUND('B+'!O16/2,2)</f>
        <v>19.88</v>
      </c>
      <c r="O16" s="161"/>
      <c r="P16" s="316">
        <f>ROUND('B+'!Q16/2,2)</f>
        <v>27.28</v>
      </c>
      <c r="Q16" s="316">
        <f>ROUND('B+'!R16/2,2)</f>
        <v>25.74</v>
      </c>
      <c r="R16" s="316">
        <f>ROUND('B+'!S16/2,2)</f>
        <v>24.2</v>
      </c>
      <c r="S16" s="316">
        <f>ROUND('B+'!T16/2,2)</f>
        <v>22.66</v>
      </c>
      <c r="T16" s="316">
        <f>ROUND('B+'!U16/2,2)</f>
        <v>22.35</v>
      </c>
      <c r="U16" s="161"/>
      <c r="V16" s="59">
        <f>ROUND('B+'!X16/2,2)</f>
        <v>22.35</v>
      </c>
      <c r="AC16" s="161"/>
    </row>
    <row r="17" spans="1:29" ht="15" hidden="1" outlineLevel="1" thickBot="1">
      <c r="A17" s="364">
        <f t="shared" si="0"/>
        <v>8</v>
      </c>
      <c r="C17" s="316">
        <f>ROUND('B+'!C17/2,2)</f>
        <v>26.61</v>
      </c>
      <c r="D17" s="316">
        <f>ROUND('B+'!D17/2,2)</f>
        <v>24.57</v>
      </c>
      <c r="E17" s="316">
        <f>ROUND('B+'!E17/2,2)</f>
        <v>24.57</v>
      </c>
      <c r="F17" s="161"/>
      <c r="G17" s="316">
        <f>ROUND('B+'!G17/2,2)</f>
        <v>24.57</v>
      </c>
      <c r="H17" s="316">
        <f>ROUND('B+'!H17/2,2)</f>
        <v>20.36</v>
      </c>
      <c r="I17" s="316">
        <f>ROUND('B+'!I17/2,2)</f>
        <v>19.88</v>
      </c>
      <c r="J17" s="316">
        <f>ROUND('B+'!J17/2,2)</f>
        <v>19.88</v>
      </c>
      <c r="K17" s="316">
        <f>ROUND('B+'!K17/2,2)</f>
        <v>19.88</v>
      </c>
      <c r="L17" s="316">
        <f>ROUND('B+'!L17/2,2)</f>
        <v>19.88</v>
      </c>
      <c r="M17" s="161"/>
      <c r="N17" s="316">
        <f>ROUND('B+'!O17/2,2)</f>
        <v>19.88</v>
      </c>
      <c r="O17" s="161"/>
      <c r="P17" s="316">
        <f>ROUND('B+'!Q17/2,2)</f>
        <v>27.28</v>
      </c>
      <c r="Q17" s="316">
        <f>ROUND('B+'!R17/2,2)</f>
        <v>25.74</v>
      </c>
      <c r="R17" s="316">
        <f>ROUND('B+'!S17/2,2)</f>
        <v>24.2</v>
      </c>
      <c r="S17" s="316">
        <f>ROUND('B+'!T17/2,2)</f>
        <v>22.66</v>
      </c>
      <c r="T17" s="316">
        <f>ROUND('B+'!U17/2,2)</f>
        <v>22.35</v>
      </c>
      <c r="U17" s="161"/>
      <c r="V17" s="59">
        <f>ROUND('B+'!X17/2,2)</f>
        <v>22.35</v>
      </c>
      <c r="AC17" s="161"/>
    </row>
    <row r="18" spans="1:29" ht="15" hidden="1" outlineLevel="1" thickBot="1">
      <c r="A18" s="364">
        <f t="shared" si="0"/>
        <v>9</v>
      </c>
      <c r="C18" s="316">
        <f>ROUND('B+'!C18/2,2)</f>
        <v>26.61</v>
      </c>
      <c r="D18" s="316">
        <f>ROUND('B+'!D18/2,2)</f>
        <v>24.57</v>
      </c>
      <c r="E18" s="316">
        <f>ROUND('B+'!E18/2,2)</f>
        <v>24.57</v>
      </c>
      <c r="F18" s="161"/>
      <c r="G18" s="316">
        <f>ROUND('B+'!G18/2,2)</f>
        <v>24.57</v>
      </c>
      <c r="H18" s="316">
        <f>ROUND('B+'!H18/2,2)</f>
        <v>20.36</v>
      </c>
      <c r="I18" s="316">
        <f>ROUND('B+'!I18/2,2)</f>
        <v>19.88</v>
      </c>
      <c r="J18" s="316">
        <f>ROUND('B+'!J18/2,2)</f>
        <v>19.88</v>
      </c>
      <c r="K18" s="316">
        <f>ROUND('B+'!K18/2,2)</f>
        <v>19.88</v>
      </c>
      <c r="L18" s="316">
        <f>ROUND('B+'!L18/2,2)</f>
        <v>19.88</v>
      </c>
      <c r="M18" s="161"/>
      <c r="N18" s="316">
        <f>ROUND('B+'!O18/2,2)</f>
        <v>19.88</v>
      </c>
      <c r="O18" s="161"/>
      <c r="P18" s="316">
        <f>ROUND('B+'!Q18/2,2)</f>
        <v>27.28</v>
      </c>
      <c r="Q18" s="316">
        <f>ROUND('B+'!R18/2,2)</f>
        <v>25.74</v>
      </c>
      <c r="R18" s="316">
        <f>ROUND('B+'!S18/2,2)</f>
        <v>24.2</v>
      </c>
      <c r="S18" s="316">
        <f>ROUND('B+'!T18/2,2)</f>
        <v>22.66</v>
      </c>
      <c r="T18" s="316">
        <f>ROUND('B+'!U18/2,2)</f>
        <v>22.35</v>
      </c>
      <c r="U18" s="161"/>
      <c r="V18" s="59">
        <f>ROUND('B+'!X18/2,2)</f>
        <v>22.35</v>
      </c>
      <c r="AC18" s="161"/>
    </row>
    <row r="19" spans="1:29" ht="15" hidden="1" outlineLevel="1" thickBot="1">
      <c r="A19" s="364">
        <f t="shared" si="0"/>
        <v>10</v>
      </c>
      <c r="C19" s="316">
        <f>ROUND('B+'!C19/2,2)</f>
        <v>26.61</v>
      </c>
      <c r="D19" s="316">
        <f>ROUND('B+'!D19/2,2)</f>
        <v>24.57</v>
      </c>
      <c r="E19" s="316">
        <f>ROUND('B+'!E19/2,2)</f>
        <v>24.57</v>
      </c>
      <c r="F19" s="161"/>
      <c r="G19" s="316">
        <f>ROUND('B+'!G19/2,2)</f>
        <v>24.57</v>
      </c>
      <c r="H19" s="316">
        <f>ROUND('B+'!H19/2,2)</f>
        <v>20.36</v>
      </c>
      <c r="I19" s="316">
        <f>ROUND('B+'!I19/2,2)</f>
        <v>19.88</v>
      </c>
      <c r="J19" s="316">
        <f>ROUND('B+'!J19/2,2)</f>
        <v>19.88</v>
      </c>
      <c r="K19" s="316">
        <f>ROUND('B+'!K19/2,2)</f>
        <v>19.88</v>
      </c>
      <c r="L19" s="316">
        <f>ROUND('B+'!L19/2,2)</f>
        <v>19.88</v>
      </c>
      <c r="M19" s="161"/>
      <c r="N19" s="316">
        <f>ROUND('B+'!O19/2,2)</f>
        <v>19.88</v>
      </c>
      <c r="O19" s="161"/>
      <c r="P19" s="316">
        <f>ROUND('B+'!Q19/2,2)</f>
        <v>27.28</v>
      </c>
      <c r="Q19" s="316">
        <f>ROUND('B+'!R19/2,2)</f>
        <v>25.74</v>
      </c>
      <c r="R19" s="316">
        <f>ROUND('B+'!S19/2,2)</f>
        <v>24.2</v>
      </c>
      <c r="S19" s="316">
        <f>ROUND('B+'!T19/2,2)</f>
        <v>22.66</v>
      </c>
      <c r="T19" s="316">
        <f>ROUND('B+'!U19/2,2)</f>
        <v>22.35</v>
      </c>
      <c r="U19" s="161"/>
      <c r="V19" s="59">
        <f>ROUND('B+'!X19/2,2)</f>
        <v>22.35</v>
      </c>
      <c r="AC19" s="161"/>
    </row>
    <row r="20" spans="1:29" ht="15" hidden="1" outlineLevel="1" thickBot="1">
      <c r="A20" s="364">
        <f t="shared" si="0"/>
        <v>11</v>
      </c>
      <c r="C20" s="316">
        <f>ROUND('B+'!C20/2,2)</f>
        <v>26.61</v>
      </c>
      <c r="D20" s="316">
        <f>ROUND('B+'!D20/2,2)</f>
        <v>24.57</v>
      </c>
      <c r="E20" s="316">
        <f>ROUND('B+'!E20/2,2)</f>
        <v>24.57</v>
      </c>
      <c r="F20" s="161"/>
      <c r="G20" s="316">
        <f>ROUND('B+'!G20/2,2)</f>
        <v>24.57</v>
      </c>
      <c r="H20" s="316">
        <f>ROUND('B+'!H20/2,2)</f>
        <v>20.36</v>
      </c>
      <c r="I20" s="316">
        <f>ROUND('B+'!I20/2,2)</f>
        <v>19.88</v>
      </c>
      <c r="J20" s="316">
        <f>ROUND('B+'!J20/2,2)</f>
        <v>19.88</v>
      </c>
      <c r="K20" s="316">
        <f>ROUND('B+'!K20/2,2)</f>
        <v>19.88</v>
      </c>
      <c r="L20" s="316">
        <f>ROUND('B+'!L20/2,2)</f>
        <v>19.88</v>
      </c>
      <c r="M20" s="161"/>
      <c r="N20" s="316">
        <f>ROUND('B+'!O20/2,2)</f>
        <v>19.88</v>
      </c>
      <c r="O20" s="161"/>
      <c r="P20" s="316">
        <f>ROUND('B+'!Q20/2,2)</f>
        <v>27.28</v>
      </c>
      <c r="Q20" s="316">
        <f>ROUND('B+'!R20/2,2)</f>
        <v>25.74</v>
      </c>
      <c r="R20" s="316">
        <f>ROUND('B+'!S20/2,2)</f>
        <v>24.2</v>
      </c>
      <c r="S20" s="316">
        <f>ROUND('B+'!T20/2,2)</f>
        <v>22.66</v>
      </c>
      <c r="T20" s="316">
        <f>ROUND('B+'!U20/2,2)</f>
        <v>22.35</v>
      </c>
      <c r="U20" s="161"/>
      <c r="V20" s="59">
        <f>ROUND('B+'!X20/2,2)</f>
        <v>22.35</v>
      </c>
      <c r="AC20" s="161"/>
    </row>
    <row r="21" spans="1:29" ht="15" hidden="1" outlineLevel="1" thickBot="1">
      <c r="A21" s="364">
        <f t="shared" si="0"/>
        <v>12</v>
      </c>
      <c r="C21" s="316">
        <f>ROUND('B+'!C21/2,2)</f>
        <v>26.61</v>
      </c>
      <c r="D21" s="316">
        <f>ROUND('B+'!D21/2,2)</f>
        <v>24.57</v>
      </c>
      <c r="E21" s="316">
        <f>ROUND('B+'!E21/2,2)</f>
        <v>24.57</v>
      </c>
      <c r="F21" s="161"/>
      <c r="G21" s="316">
        <f>ROUND('B+'!G21/2,2)</f>
        <v>24.57</v>
      </c>
      <c r="H21" s="316">
        <f>ROUND('B+'!H21/2,2)</f>
        <v>20.36</v>
      </c>
      <c r="I21" s="316">
        <f>ROUND('B+'!I21/2,2)</f>
        <v>19.88</v>
      </c>
      <c r="J21" s="316">
        <f>ROUND('B+'!J21/2,2)</f>
        <v>19.88</v>
      </c>
      <c r="K21" s="316">
        <f>ROUND('B+'!K21/2,2)</f>
        <v>19.88</v>
      </c>
      <c r="L21" s="316">
        <f>ROUND('B+'!L21/2,2)</f>
        <v>19.88</v>
      </c>
      <c r="M21" s="161"/>
      <c r="N21" s="316">
        <f>ROUND('B+'!O21/2,2)</f>
        <v>19.88</v>
      </c>
      <c r="O21" s="161"/>
      <c r="P21" s="316">
        <f>ROUND('B+'!Q21/2,2)</f>
        <v>27.28</v>
      </c>
      <c r="Q21" s="316">
        <f>ROUND('B+'!R21/2,2)</f>
        <v>25.74</v>
      </c>
      <c r="R21" s="316">
        <f>ROUND('B+'!S21/2,2)</f>
        <v>24.2</v>
      </c>
      <c r="S21" s="316">
        <f>ROUND('B+'!T21/2,2)</f>
        <v>22.66</v>
      </c>
      <c r="T21" s="316">
        <f>ROUND('B+'!U21/2,2)</f>
        <v>22.35</v>
      </c>
      <c r="U21" s="161"/>
      <c r="V21" s="59">
        <f>ROUND('B+'!X21/2,2)</f>
        <v>22.35</v>
      </c>
      <c r="AC21" s="161"/>
    </row>
    <row r="22" spans="1:29" ht="15" hidden="1" outlineLevel="1" thickBot="1">
      <c r="A22" s="364">
        <f t="shared" si="0"/>
        <v>13</v>
      </c>
      <c r="C22" s="316">
        <f>ROUND('B+'!C22/2,2)</f>
        <v>26.61</v>
      </c>
      <c r="D22" s="316">
        <f>ROUND('B+'!D22/2,2)</f>
        <v>24.57</v>
      </c>
      <c r="E22" s="316">
        <f>ROUND('B+'!E22/2,2)</f>
        <v>24.57</v>
      </c>
      <c r="F22" s="161"/>
      <c r="G22" s="316">
        <f>ROUND('B+'!G22/2,2)</f>
        <v>24.57</v>
      </c>
      <c r="H22" s="316">
        <f>ROUND('B+'!H22/2,2)</f>
        <v>20.36</v>
      </c>
      <c r="I22" s="316">
        <f>ROUND('B+'!I22/2,2)</f>
        <v>19.88</v>
      </c>
      <c r="J22" s="316">
        <f>ROUND('B+'!J22/2,2)</f>
        <v>19.88</v>
      </c>
      <c r="K22" s="316">
        <f>ROUND('B+'!K22/2,2)</f>
        <v>19.88</v>
      </c>
      <c r="L22" s="316">
        <f>ROUND('B+'!L22/2,2)</f>
        <v>19.88</v>
      </c>
      <c r="M22" s="161"/>
      <c r="N22" s="316">
        <f>ROUND('B+'!O22/2,2)</f>
        <v>19.88</v>
      </c>
      <c r="O22" s="161"/>
      <c r="P22" s="316">
        <f>ROUND('B+'!Q22/2,2)</f>
        <v>27.28</v>
      </c>
      <c r="Q22" s="316">
        <f>ROUND('B+'!R22/2,2)</f>
        <v>25.74</v>
      </c>
      <c r="R22" s="316">
        <f>ROUND('B+'!S22/2,2)</f>
        <v>24.2</v>
      </c>
      <c r="S22" s="316">
        <f>ROUND('B+'!T22/2,2)</f>
        <v>22.66</v>
      </c>
      <c r="T22" s="316">
        <f>ROUND('B+'!U22/2,2)</f>
        <v>22.35</v>
      </c>
      <c r="U22" s="161"/>
      <c r="V22" s="59">
        <f>ROUND('B+'!X22/2,2)</f>
        <v>22.35</v>
      </c>
      <c r="AC22" s="161"/>
    </row>
    <row r="23" spans="1:29" ht="15" hidden="1" outlineLevel="1" thickBot="1">
      <c r="A23" s="364">
        <f t="shared" si="0"/>
        <v>14</v>
      </c>
      <c r="C23" s="316">
        <f>ROUND('B+'!C23/2,2)</f>
        <v>26.61</v>
      </c>
      <c r="D23" s="316">
        <f>ROUND('B+'!D23/2,2)</f>
        <v>24.57</v>
      </c>
      <c r="E23" s="316">
        <f>ROUND('B+'!E23/2,2)</f>
        <v>24.57</v>
      </c>
      <c r="F23" s="161"/>
      <c r="G23" s="316">
        <f>ROUND('B+'!G23/2,2)</f>
        <v>24.57</v>
      </c>
      <c r="H23" s="316">
        <f>ROUND('B+'!H23/2,2)</f>
        <v>20.36</v>
      </c>
      <c r="I23" s="316">
        <f>ROUND('B+'!I23/2,2)</f>
        <v>19.88</v>
      </c>
      <c r="J23" s="316">
        <f>ROUND('B+'!J23/2,2)</f>
        <v>19.88</v>
      </c>
      <c r="K23" s="316">
        <f>ROUND('B+'!K23/2,2)</f>
        <v>19.88</v>
      </c>
      <c r="L23" s="316">
        <f>ROUND('B+'!L23/2,2)</f>
        <v>19.88</v>
      </c>
      <c r="M23" s="161"/>
      <c r="N23" s="316">
        <f>ROUND('B+'!O23/2,2)</f>
        <v>19.88</v>
      </c>
      <c r="O23" s="161"/>
      <c r="P23" s="316">
        <f>ROUND('B+'!Q23/2,2)</f>
        <v>27.28</v>
      </c>
      <c r="Q23" s="316">
        <f>ROUND('B+'!R23/2,2)</f>
        <v>25.74</v>
      </c>
      <c r="R23" s="316">
        <f>ROUND('B+'!S23/2,2)</f>
        <v>24.2</v>
      </c>
      <c r="S23" s="316">
        <f>ROUND('B+'!T23/2,2)</f>
        <v>22.66</v>
      </c>
      <c r="T23" s="316">
        <f>ROUND('B+'!U23/2,2)</f>
        <v>22.35</v>
      </c>
      <c r="U23" s="161"/>
      <c r="V23" s="59">
        <f>ROUND('B+'!X23/2,2)</f>
        <v>22.35</v>
      </c>
      <c r="AC23" s="161"/>
    </row>
    <row r="24" spans="1:29" ht="15" hidden="1" outlineLevel="1" thickBot="1">
      <c r="A24" s="364">
        <f t="shared" si="0"/>
        <v>15</v>
      </c>
      <c r="C24" s="316">
        <f>ROUND('B+'!C24/2,2)</f>
        <v>26.61</v>
      </c>
      <c r="D24" s="316">
        <f>ROUND('B+'!D24/2,2)</f>
        <v>24.57</v>
      </c>
      <c r="E24" s="316">
        <f>ROUND('B+'!E24/2,2)</f>
        <v>24.57</v>
      </c>
      <c r="F24" s="161"/>
      <c r="G24" s="316">
        <f>ROUND('B+'!G24/2,2)</f>
        <v>24.57</v>
      </c>
      <c r="H24" s="316">
        <f>ROUND('B+'!H24/2,2)</f>
        <v>20.36</v>
      </c>
      <c r="I24" s="316">
        <f>ROUND('B+'!I24/2,2)</f>
        <v>19.88</v>
      </c>
      <c r="J24" s="316">
        <f>ROUND('B+'!J24/2,2)</f>
        <v>19.88</v>
      </c>
      <c r="K24" s="316">
        <f>ROUND('B+'!K24/2,2)</f>
        <v>19.88</v>
      </c>
      <c r="L24" s="316">
        <f>ROUND('B+'!L24/2,2)</f>
        <v>19.88</v>
      </c>
      <c r="M24" s="161"/>
      <c r="N24" s="316">
        <f>ROUND('B+'!O24/2,2)</f>
        <v>19.88</v>
      </c>
      <c r="O24" s="161"/>
      <c r="P24" s="316">
        <f>ROUND('B+'!Q24/2,2)</f>
        <v>27.28</v>
      </c>
      <c r="Q24" s="316">
        <f>ROUND('B+'!R24/2,2)</f>
        <v>25.74</v>
      </c>
      <c r="R24" s="316">
        <f>ROUND('B+'!S24/2,2)</f>
        <v>24.2</v>
      </c>
      <c r="S24" s="316">
        <f>ROUND('B+'!T24/2,2)</f>
        <v>22.66</v>
      </c>
      <c r="T24" s="316">
        <f>ROUND('B+'!U24/2,2)</f>
        <v>22.35</v>
      </c>
      <c r="U24" s="161"/>
      <c r="V24" s="59">
        <f>ROUND('B+'!X24/2,2)</f>
        <v>22.35</v>
      </c>
      <c r="AC24" s="161"/>
    </row>
    <row r="25" spans="1:29" ht="15" hidden="1" outlineLevel="1" thickBot="1">
      <c r="A25" s="364">
        <f t="shared" si="0"/>
        <v>16</v>
      </c>
      <c r="C25" s="316">
        <f>ROUND('B+'!C25/2,2)</f>
        <v>26.61</v>
      </c>
      <c r="D25" s="316">
        <f>ROUND('B+'!D25/2,2)</f>
        <v>24.57</v>
      </c>
      <c r="E25" s="316">
        <f>ROUND('B+'!E25/2,2)</f>
        <v>24.57</v>
      </c>
      <c r="F25" s="161"/>
      <c r="G25" s="316">
        <f>ROUND('B+'!G25/2,2)</f>
        <v>24.57</v>
      </c>
      <c r="H25" s="316">
        <f>ROUND('B+'!H25/2,2)</f>
        <v>20.36</v>
      </c>
      <c r="I25" s="316">
        <f>ROUND('B+'!I25/2,2)</f>
        <v>19.88</v>
      </c>
      <c r="J25" s="316">
        <f>ROUND('B+'!J25/2,2)</f>
        <v>19.88</v>
      </c>
      <c r="K25" s="316">
        <f>ROUND('B+'!K25/2,2)</f>
        <v>19.88</v>
      </c>
      <c r="L25" s="316">
        <f>ROUND('B+'!L25/2,2)</f>
        <v>19.88</v>
      </c>
      <c r="M25" s="161"/>
      <c r="N25" s="316">
        <f>ROUND('B+'!O25/2,2)</f>
        <v>19.88</v>
      </c>
      <c r="O25" s="161"/>
      <c r="P25" s="316">
        <f>ROUND('B+'!Q25/2,2)</f>
        <v>27.28</v>
      </c>
      <c r="Q25" s="316">
        <f>ROUND('B+'!R25/2,2)</f>
        <v>25.74</v>
      </c>
      <c r="R25" s="316">
        <f>ROUND('B+'!S25/2,2)</f>
        <v>24.2</v>
      </c>
      <c r="S25" s="316">
        <f>ROUND('B+'!T25/2,2)</f>
        <v>22.66</v>
      </c>
      <c r="T25" s="316">
        <f>ROUND('B+'!U25/2,2)</f>
        <v>22.35</v>
      </c>
      <c r="U25" s="161"/>
      <c r="V25" s="59">
        <f>ROUND('B+'!X25/2,2)</f>
        <v>22.35</v>
      </c>
      <c r="AC25" s="161"/>
    </row>
    <row r="26" spans="1:29" ht="15" hidden="1" outlineLevel="1" thickBot="1">
      <c r="A26" s="364">
        <f t="shared" si="0"/>
        <v>17</v>
      </c>
      <c r="C26" s="316">
        <f>ROUND('B+'!C26/2,2)</f>
        <v>26.61</v>
      </c>
      <c r="D26" s="316">
        <f>ROUND('B+'!D26/2,2)</f>
        <v>24.57</v>
      </c>
      <c r="E26" s="316">
        <f>ROUND('B+'!E26/2,2)</f>
        <v>24.57</v>
      </c>
      <c r="F26" s="161"/>
      <c r="G26" s="316">
        <f>ROUND('B+'!G26/2,2)</f>
        <v>24.57</v>
      </c>
      <c r="H26" s="316">
        <f>ROUND('B+'!H26/2,2)</f>
        <v>20.36</v>
      </c>
      <c r="I26" s="316">
        <f>ROUND('B+'!I26/2,2)</f>
        <v>19.88</v>
      </c>
      <c r="J26" s="316">
        <f>ROUND('B+'!J26/2,2)</f>
        <v>19.88</v>
      </c>
      <c r="K26" s="316">
        <f>ROUND('B+'!K26/2,2)</f>
        <v>19.88</v>
      </c>
      <c r="L26" s="316">
        <f>ROUND('B+'!L26/2,2)</f>
        <v>19.88</v>
      </c>
      <c r="M26" s="161"/>
      <c r="N26" s="316">
        <f>ROUND('B+'!O26/2,2)</f>
        <v>19.88</v>
      </c>
      <c r="O26" s="161"/>
      <c r="P26" s="316">
        <f>ROUND('B+'!Q26/2,2)</f>
        <v>27.28</v>
      </c>
      <c r="Q26" s="316">
        <f>ROUND('B+'!R26/2,2)</f>
        <v>25.74</v>
      </c>
      <c r="R26" s="316">
        <f>ROUND('B+'!S26/2,2)</f>
        <v>24.2</v>
      </c>
      <c r="S26" s="316">
        <f>ROUND('B+'!T26/2,2)</f>
        <v>22.66</v>
      </c>
      <c r="T26" s="316">
        <f>ROUND('B+'!U26/2,2)</f>
        <v>22.35</v>
      </c>
      <c r="U26" s="161"/>
      <c r="V26" s="59">
        <f>ROUND('B+'!X26/2,2)</f>
        <v>22.35</v>
      </c>
      <c r="AC26" s="161"/>
    </row>
    <row r="27" spans="1:29" ht="15" hidden="1" outlineLevel="1" thickBot="1">
      <c r="A27" s="364">
        <f t="shared" si="0"/>
        <v>18</v>
      </c>
      <c r="C27" s="316">
        <f>ROUND('B+'!C27/2,2)</f>
        <v>26.61</v>
      </c>
      <c r="D27" s="316">
        <f>ROUND('B+'!D27/2,2)</f>
        <v>24.57</v>
      </c>
      <c r="E27" s="316">
        <f>ROUND('B+'!E27/2,2)</f>
        <v>24.57</v>
      </c>
      <c r="F27" s="161"/>
      <c r="G27" s="316">
        <f>ROUND('B+'!G27/2,2)</f>
        <v>24.57</v>
      </c>
      <c r="H27" s="316">
        <f>ROUND('B+'!H27/2,2)</f>
        <v>20.36</v>
      </c>
      <c r="I27" s="316">
        <f>ROUND('B+'!I27/2,2)</f>
        <v>19.88</v>
      </c>
      <c r="J27" s="316">
        <f>ROUND('B+'!J27/2,2)</f>
        <v>19.88</v>
      </c>
      <c r="K27" s="316">
        <f>ROUND('B+'!K27/2,2)</f>
        <v>19.88</v>
      </c>
      <c r="L27" s="316">
        <f>ROUND('B+'!L27/2,2)</f>
        <v>19.88</v>
      </c>
      <c r="M27" s="161"/>
      <c r="N27" s="316">
        <f>ROUND('B+'!O27/2,2)</f>
        <v>19.88</v>
      </c>
      <c r="O27" s="161"/>
      <c r="P27" s="316">
        <f>ROUND('B+'!Q27/2,2)</f>
        <v>27.28</v>
      </c>
      <c r="Q27" s="316">
        <f>ROUND('B+'!R27/2,2)</f>
        <v>25.74</v>
      </c>
      <c r="R27" s="316">
        <f>ROUND('B+'!S27/2,2)</f>
        <v>24.2</v>
      </c>
      <c r="S27" s="316">
        <f>ROUND('B+'!T27/2,2)</f>
        <v>22.66</v>
      </c>
      <c r="T27" s="316">
        <f>ROUND('B+'!U27/2,2)</f>
        <v>22.35</v>
      </c>
      <c r="U27" s="161"/>
      <c r="V27" s="59">
        <f>ROUND('B+'!X27/2,2)</f>
        <v>22.35</v>
      </c>
      <c r="AC27" s="161"/>
    </row>
    <row r="28" spans="1:29" ht="15" hidden="1" outlineLevel="1" thickBot="1">
      <c r="A28" s="364">
        <f t="shared" si="0"/>
        <v>19</v>
      </c>
      <c r="C28" s="316">
        <f>ROUND('B+'!C28/2,2)</f>
        <v>26.61</v>
      </c>
      <c r="D28" s="316">
        <f>ROUND('B+'!D28/2,2)</f>
        <v>24.57</v>
      </c>
      <c r="E28" s="316">
        <f>ROUND('B+'!E28/2,2)</f>
        <v>24.57</v>
      </c>
      <c r="F28" s="161"/>
      <c r="G28" s="316">
        <f>ROUND('B+'!G28/2,2)</f>
        <v>24.57</v>
      </c>
      <c r="H28" s="316">
        <f>ROUND('B+'!H28/2,2)</f>
        <v>20.36</v>
      </c>
      <c r="I28" s="316">
        <f>ROUND('B+'!I28/2,2)</f>
        <v>19.88</v>
      </c>
      <c r="J28" s="316">
        <f>ROUND('B+'!J28/2,2)</f>
        <v>19.88</v>
      </c>
      <c r="K28" s="316">
        <f>ROUND('B+'!K28/2,2)</f>
        <v>19.88</v>
      </c>
      <c r="L28" s="316">
        <f>ROUND('B+'!L28/2,2)</f>
        <v>19.88</v>
      </c>
      <c r="M28" s="161"/>
      <c r="N28" s="316">
        <f>ROUND('B+'!O28/2,2)</f>
        <v>19.88</v>
      </c>
      <c r="O28" s="161"/>
      <c r="P28" s="316">
        <f>ROUND('B+'!Q28/2,2)</f>
        <v>27.28</v>
      </c>
      <c r="Q28" s="316">
        <f>ROUND('B+'!R28/2,2)</f>
        <v>25.74</v>
      </c>
      <c r="R28" s="316">
        <f>ROUND('B+'!S28/2,2)</f>
        <v>24.2</v>
      </c>
      <c r="S28" s="316">
        <f>ROUND('B+'!T28/2,2)</f>
        <v>22.66</v>
      </c>
      <c r="T28" s="316">
        <f>ROUND('B+'!U28/2,2)</f>
        <v>22.35</v>
      </c>
      <c r="U28" s="161"/>
      <c r="V28" s="59">
        <f>ROUND('B+'!X28/2,2)</f>
        <v>22.35</v>
      </c>
      <c r="AC28" s="161"/>
    </row>
    <row r="29" spans="1:29" ht="15" hidden="1" outlineLevel="1" thickBot="1">
      <c r="A29" s="364">
        <f t="shared" si="0"/>
        <v>20</v>
      </c>
      <c r="C29" s="316">
        <f>ROUND('B+'!C29/2,2)</f>
        <v>26.61</v>
      </c>
      <c r="D29" s="316">
        <f>ROUND('B+'!D29/2,2)</f>
        <v>24.57</v>
      </c>
      <c r="E29" s="316">
        <f>ROUND('B+'!E29/2,2)</f>
        <v>24.57</v>
      </c>
      <c r="F29" s="161"/>
      <c r="G29" s="316">
        <f>ROUND('B+'!G29/2,2)</f>
        <v>24.57</v>
      </c>
      <c r="H29" s="316">
        <f>ROUND('B+'!H29/2,2)</f>
        <v>20.36</v>
      </c>
      <c r="I29" s="316">
        <f>ROUND('B+'!I29/2,2)</f>
        <v>19.88</v>
      </c>
      <c r="J29" s="316">
        <f>ROUND('B+'!J29/2,2)</f>
        <v>19.88</v>
      </c>
      <c r="K29" s="316">
        <f>ROUND('B+'!K29/2,2)</f>
        <v>19.88</v>
      </c>
      <c r="L29" s="316">
        <f>ROUND('B+'!L29/2,2)</f>
        <v>19.88</v>
      </c>
      <c r="M29" s="161"/>
      <c r="N29" s="316">
        <f>ROUND('B+'!O29/2,2)</f>
        <v>19.88</v>
      </c>
      <c r="O29" s="161"/>
      <c r="P29" s="316">
        <f>ROUND('B+'!Q29/2,2)</f>
        <v>27.28</v>
      </c>
      <c r="Q29" s="316">
        <f>ROUND('B+'!R29/2,2)</f>
        <v>25.74</v>
      </c>
      <c r="R29" s="316">
        <f>ROUND('B+'!S29/2,2)</f>
        <v>24.2</v>
      </c>
      <c r="S29" s="316">
        <f>ROUND('B+'!T29/2,2)</f>
        <v>22.66</v>
      </c>
      <c r="T29" s="316">
        <f>ROUND('B+'!U29/2,2)</f>
        <v>22.35</v>
      </c>
      <c r="U29" s="161"/>
      <c r="V29" s="59">
        <f>ROUND('B+'!X29/2,2)</f>
        <v>22.35</v>
      </c>
      <c r="AC29" s="161"/>
    </row>
    <row r="30" spans="1:29" ht="15" hidden="1" outlineLevel="1" thickBot="1">
      <c r="A30" s="364">
        <f t="shared" si="0"/>
        <v>21</v>
      </c>
      <c r="C30" s="316">
        <f>ROUND('B+'!C30/2,2)</f>
        <v>26.61</v>
      </c>
      <c r="D30" s="316">
        <f>ROUND('B+'!D30/2,2)</f>
        <v>24.57</v>
      </c>
      <c r="E30" s="316">
        <f>ROUND('B+'!E30/2,2)</f>
        <v>24.57</v>
      </c>
      <c r="F30" s="161"/>
      <c r="G30" s="316">
        <f>ROUND('B+'!G30/2,2)</f>
        <v>24.57</v>
      </c>
      <c r="H30" s="316">
        <f>ROUND('B+'!H30/2,2)</f>
        <v>20.36</v>
      </c>
      <c r="I30" s="316">
        <f>ROUND('B+'!I30/2,2)</f>
        <v>19.88</v>
      </c>
      <c r="J30" s="316">
        <f>ROUND('B+'!J30/2,2)</f>
        <v>19.88</v>
      </c>
      <c r="K30" s="316">
        <f>ROUND('B+'!K30/2,2)</f>
        <v>19.88</v>
      </c>
      <c r="L30" s="316">
        <f>ROUND('B+'!L30/2,2)</f>
        <v>19.88</v>
      </c>
      <c r="M30" s="161"/>
      <c r="N30" s="316">
        <f>ROUND('B+'!O30/2,2)</f>
        <v>19.88</v>
      </c>
      <c r="O30" s="161"/>
      <c r="P30" s="316">
        <f>ROUND('B+'!Q30/2,2)</f>
        <v>27.28</v>
      </c>
      <c r="Q30" s="316">
        <f>ROUND('B+'!R30/2,2)</f>
        <v>25.74</v>
      </c>
      <c r="R30" s="316">
        <f>ROUND('B+'!S30/2,2)</f>
        <v>24.2</v>
      </c>
      <c r="S30" s="316">
        <f>ROUND('B+'!T30/2,2)</f>
        <v>22.66</v>
      </c>
      <c r="T30" s="316">
        <f>ROUND('B+'!U30/2,2)</f>
        <v>22.35</v>
      </c>
      <c r="U30" s="161"/>
      <c r="V30" s="59">
        <f>ROUND('B+'!X30/2,2)</f>
        <v>22.35</v>
      </c>
      <c r="AC30" s="161"/>
    </row>
    <row r="31" spans="1:29" ht="15" hidden="1" outlineLevel="1" thickBot="1">
      <c r="A31" s="364">
        <f t="shared" si="0"/>
        <v>22</v>
      </c>
      <c r="C31" s="316">
        <f>ROUND('B+'!C31/2,2)</f>
        <v>26.61</v>
      </c>
      <c r="D31" s="316">
        <f>ROUND('B+'!D31/2,2)</f>
        <v>24.57</v>
      </c>
      <c r="E31" s="316">
        <f>ROUND('B+'!E31/2,2)</f>
        <v>24.57</v>
      </c>
      <c r="F31" s="161"/>
      <c r="G31" s="316">
        <f>ROUND('B+'!G31/2,2)</f>
        <v>24.57</v>
      </c>
      <c r="H31" s="316">
        <f>ROUND('B+'!H31/2,2)</f>
        <v>20.36</v>
      </c>
      <c r="I31" s="316">
        <f>ROUND('B+'!I31/2,2)</f>
        <v>19.88</v>
      </c>
      <c r="J31" s="316">
        <f>ROUND('B+'!J31/2,2)</f>
        <v>19.88</v>
      </c>
      <c r="K31" s="316">
        <f>ROUND('B+'!K31/2,2)</f>
        <v>19.88</v>
      </c>
      <c r="L31" s="316">
        <f>ROUND('B+'!L31/2,2)</f>
        <v>19.88</v>
      </c>
      <c r="M31" s="161"/>
      <c r="N31" s="316">
        <f>ROUND('B+'!O31/2,2)</f>
        <v>19.88</v>
      </c>
      <c r="O31" s="161"/>
      <c r="P31" s="316">
        <f>ROUND('B+'!Q31/2,2)</f>
        <v>27.28</v>
      </c>
      <c r="Q31" s="316">
        <f>ROUND('B+'!R31/2,2)</f>
        <v>25.74</v>
      </c>
      <c r="R31" s="316">
        <f>ROUND('B+'!S31/2,2)</f>
        <v>24.2</v>
      </c>
      <c r="S31" s="316">
        <f>ROUND('B+'!T31/2,2)</f>
        <v>22.66</v>
      </c>
      <c r="T31" s="316">
        <f>ROUND('B+'!U31/2,2)</f>
        <v>22.35</v>
      </c>
      <c r="U31" s="161"/>
      <c r="V31" s="59">
        <f>ROUND('B+'!X31/2,2)</f>
        <v>22.35</v>
      </c>
      <c r="AC31" s="161"/>
    </row>
    <row r="32" spans="1:29" ht="15" hidden="1" outlineLevel="1" thickBot="1">
      <c r="A32" s="364">
        <f t="shared" si="0"/>
        <v>23</v>
      </c>
      <c r="C32" s="316">
        <f>ROUND('B+'!C32/2,2)</f>
        <v>26.61</v>
      </c>
      <c r="D32" s="316">
        <f>ROUND('B+'!D32/2,2)</f>
        <v>24.57</v>
      </c>
      <c r="E32" s="316">
        <f>ROUND('B+'!E32/2,2)</f>
        <v>24.57</v>
      </c>
      <c r="F32" s="161"/>
      <c r="G32" s="316">
        <f>ROUND('B+'!G32/2,2)</f>
        <v>24.57</v>
      </c>
      <c r="H32" s="316">
        <f>ROUND('B+'!H32/2,2)</f>
        <v>20.36</v>
      </c>
      <c r="I32" s="316">
        <f>ROUND('B+'!I32/2,2)</f>
        <v>19.88</v>
      </c>
      <c r="J32" s="316">
        <f>ROUND('B+'!J32/2,2)</f>
        <v>19.88</v>
      </c>
      <c r="K32" s="316">
        <f>ROUND('B+'!K32/2,2)</f>
        <v>19.88</v>
      </c>
      <c r="L32" s="316">
        <f>ROUND('B+'!L32/2,2)</f>
        <v>19.88</v>
      </c>
      <c r="M32" s="161"/>
      <c r="N32" s="316">
        <f>ROUND('B+'!O32/2,2)</f>
        <v>19.88</v>
      </c>
      <c r="O32" s="161"/>
      <c r="P32" s="316">
        <f>ROUND('B+'!Q32/2,2)</f>
        <v>27.28</v>
      </c>
      <c r="Q32" s="316">
        <f>ROUND('B+'!R32/2,2)</f>
        <v>25.74</v>
      </c>
      <c r="R32" s="316">
        <f>ROUND('B+'!S32/2,2)</f>
        <v>24.2</v>
      </c>
      <c r="S32" s="316">
        <f>ROUND('B+'!T32/2,2)</f>
        <v>22.66</v>
      </c>
      <c r="T32" s="316">
        <f>ROUND('B+'!U32/2,2)</f>
        <v>22.35</v>
      </c>
      <c r="U32" s="161"/>
      <c r="V32" s="59">
        <f>ROUND('B+'!X32/2,2)</f>
        <v>22.35</v>
      </c>
      <c r="AC32" s="161"/>
    </row>
    <row r="33" spans="1:29" ht="15" hidden="1" outlineLevel="1" thickBot="1">
      <c r="A33" s="364">
        <f t="shared" si="0"/>
        <v>24</v>
      </c>
      <c r="C33" s="316">
        <f>ROUND('B+'!C33/2,2)</f>
        <v>26.61</v>
      </c>
      <c r="D33" s="316">
        <f>ROUND('B+'!D33/2,2)</f>
        <v>24.57</v>
      </c>
      <c r="E33" s="316">
        <f>ROUND('B+'!E33/2,2)</f>
        <v>24.57</v>
      </c>
      <c r="F33" s="161"/>
      <c r="G33" s="316">
        <f>ROUND('B+'!G33/2,2)</f>
        <v>24.57</v>
      </c>
      <c r="H33" s="316">
        <f>ROUND('B+'!H33/2,2)</f>
        <v>20.36</v>
      </c>
      <c r="I33" s="316">
        <f>ROUND('B+'!I33/2,2)</f>
        <v>19.88</v>
      </c>
      <c r="J33" s="316">
        <f>ROUND('B+'!J33/2,2)</f>
        <v>19.88</v>
      </c>
      <c r="K33" s="316">
        <f>ROUND('B+'!K33/2,2)</f>
        <v>19.88</v>
      </c>
      <c r="L33" s="316">
        <f>ROUND('B+'!L33/2,2)</f>
        <v>19.88</v>
      </c>
      <c r="M33" s="161"/>
      <c r="N33" s="316">
        <f>ROUND('B+'!O33/2,2)</f>
        <v>19.88</v>
      </c>
      <c r="O33" s="161"/>
      <c r="P33" s="316">
        <f>ROUND('B+'!Q33/2,2)</f>
        <v>27.28</v>
      </c>
      <c r="Q33" s="316">
        <f>ROUND('B+'!R33/2,2)</f>
        <v>25.74</v>
      </c>
      <c r="R33" s="316">
        <f>ROUND('B+'!S33/2,2)</f>
        <v>24.2</v>
      </c>
      <c r="S33" s="316">
        <f>ROUND('B+'!T33/2,2)</f>
        <v>22.66</v>
      </c>
      <c r="T33" s="316">
        <f>ROUND('B+'!U33/2,2)</f>
        <v>22.35</v>
      </c>
      <c r="U33" s="161"/>
      <c r="V33" s="59">
        <f>ROUND('B+'!X33/2,2)</f>
        <v>22.35</v>
      </c>
      <c r="AC33" s="161"/>
    </row>
    <row r="34" spans="1:29" ht="15" hidden="1" outlineLevel="1" thickBot="1">
      <c r="A34" s="364">
        <f t="shared" si="0"/>
        <v>25</v>
      </c>
      <c r="C34" s="316">
        <f>ROUND('B+'!C34/2,2)</f>
        <v>26.61</v>
      </c>
      <c r="D34" s="316">
        <f>ROUND('B+'!D34/2,2)</f>
        <v>24.57</v>
      </c>
      <c r="E34" s="316">
        <f>ROUND('B+'!E34/2,2)</f>
        <v>24.57</v>
      </c>
      <c r="F34" s="161"/>
      <c r="G34" s="316">
        <f>ROUND('B+'!G34/2,2)</f>
        <v>24.57</v>
      </c>
      <c r="H34" s="316">
        <f>ROUND('B+'!H34/2,2)</f>
        <v>20.36</v>
      </c>
      <c r="I34" s="316">
        <f>ROUND('B+'!I34/2,2)</f>
        <v>19.88</v>
      </c>
      <c r="J34" s="316">
        <f>ROUND('B+'!J34/2,2)</f>
        <v>19.88</v>
      </c>
      <c r="K34" s="316">
        <f>ROUND('B+'!K34/2,2)</f>
        <v>19.88</v>
      </c>
      <c r="L34" s="316">
        <f>ROUND('B+'!L34/2,2)</f>
        <v>19.88</v>
      </c>
      <c r="M34" s="161"/>
      <c r="N34" s="316">
        <f>ROUND('B+'!O34/2,2)</f>
        <v>19.88</v>
      </c>
      <c r="O34" s="161"/>
      <c r="P34" s="316">
        <f>ROUND('B+'!Q34/2,2)</f>
        <v>27.28</v>
      </c>
      <c r="Q34" s="316">
        <f>ROUND('B+'!R34/2,2)</f>
        <v>25.74</v>
      </c>
      <c r="R34" s="316">
        <f>ROUND('B+'!S34/2,2)</f>
        <v>24.2</v>
      </c>
      <c r="S34" s="316">
        <f>ROUND('B+'!T34/2,2)</f>
        <v>22.66</v>
      </c>
      <c r="T34" s="316">
        <f>ROUND('B+'!U34/2,2)</f>
        <v>22.35</v>
      </c>
      <c r="U34" s="161"/>
      <c r="V34" s="59">
        <f>ROUND('B+'!X34/2,2)</f>
        <v>22.35</v>
      </c>
      <c r="AC34" s="161"/>
    </row>
    <row r="35" spans="1:29" ht="15" hidden="1" outlineLevel="1" thickBot="1">
      <c r="A35" s="364">
        <f t="shared" si="0"/>
        <v>26</v>
      </c>
      <c r="C35" s="316">
        <f>ROUND('B+'!C35/2,2)</f>
        <v>26.61</v>
      </c>
      <c r="D35" s="316">
        <f>ROUND('B+'!D35/2,2)</f>
        <v>24.57</v>
      </c>
      <c r="E35" s="316">
        <f>ROUND('B+'!E35/2,2)</f>
        <v>24.57</v>
      </c>
      <c r="F35" s="161"/>
      <c r="G35" s="316">
        <f>ROUND('B+'!G35/2,2)</f>
        <v>24.57</v>
      </c>
      <c r="H35" s="316">
        <f>ROUND('B+'!H35/2,2)</f>
        <v>20.36</v>
      </c>
      <c r="I35" s="316">
        <f>ROUND('B+'!I35/2,2)</f>
        <v>19.88</v>
      </c>
      <c r="J35" s="316">
        <f>ROUND('B+'!J35/2,2)</f>
        <v>19.88</v>
      </c>
      <c r="K35" s="316">
        <f>ROUND('B+'!K35/2,2)</f>
        <v>19.88</v>
      </c>
      <c r="L35" s="316">
        <f>ROUND('B+'!L35/2,2)</f>
        <v>19.88</v>
      </c>
      <c r="M35" s="161"/>
      <c r="N35" s="316">
        <f>ROUND('B+'!O35/2,2)</f>
        <v>19.88</v>
      </c>
      <c r="O35" s="161"/>
      <c r="P35" s="316">
        <f>ROUND('B+'!Q35/2,2)</f>
        <v>27.28</v>
      </c>
      <c r="Q35" s="316">
        <f>ROUND('B+'!R35/2,2)</f>
        <v>25.74</v>
      </c>
      <c r="R35" s="316">
        <f>ROUND('B+'!S35/2,2)</f>
        <v>24.2</v>
      </c>
      <c r="S35" s="316">
        <f>ROUND('B+'!T35/2,2)</f>
        <v>22.66</v>
      </c>
      <c r="T35" s="316">
        <f>ROUND('B+'!U35/2,2)</f>
        <v>22.35</v>
      </c>
      <c r="U35" s="161"/>
      <c r="V35" s="59">
        <f>ROUND('B+'!X35/2,2)</f>
        <v>22.35</v>
      </c>
      <c r="AC35" s="161"/>
    </row>
    <row r="36" spans="1:29" ht="15" hidden="1" outlineLevel="1" thickBot="1">
      <c r="A36" s="364">
        <f t="shared" si="0"/>
        <v>27</v>
      </c>
      <c r="C36" s="316">
        <f>ROUND('B+'!C36/2,2)</f>
        <v>26.61</v>
      </c>
      <c r="D36" s="316">
        <f>ROUND('B+'!D36/2,2)</f>
        <v>24.57</v>
      </c>
      <c r="E36" s="316">
        <f>ROUND('B+'!E36/2,2)</f>
        <v>24.57</v>
      </c>
      <c r="F36" s="161"/>
      <c r="G36" s="316">
        <f>ROUND('B+'!G36/2,2)</f>
        <v>24.57</v>
      </c>
      <c r="H36" s="316">
        <f>ROUND('B+'!H36/2,2)</f>
        <v>20.36</v>
      </c>
      <c r="I36" s="316">
        <f>ROUND('B+'!I36/2,2)</f>
        <v>19.88</v>
      </c>
      <c r="J36" s="316">
        <f>ROUND('B+'!J36/2,2)</f>
        <v>19.88</v>
      </c>
      <c r="K36" s="316">
        <f>ROUND('B+'!K36/2,2)</f>
        <v>19.88</v>
      </c>
      <c r="L36" s="316">
        <f>ROUND('B+'!L36/2,2)</f>
        <v>19.88</v>
      </c>
      <c r="M36" s="161"/>
      <c r="N36" s="316">
        <f>ROUND('B+'!O36/2,2)</f>
        <v>19.88</v>
      </c>
      <c r="O36" s="161"/>
      <c r="P36" s="316">
        <f>ROUND('B+'!Q36/2,2)</f>
        <v>27.28</v>
      </c>
      <c r="Q36" s="316">
        <f>ROUND('B+'!R36/2,2)</f>
        <v>25.74</v>
      </c>
      <c r="R36" s="316">
        <f>ROUND('B+'!S36/2,2)</f>
        <v>24.2</v>
      </c>
      <c r="S36" s="316">
        <f>ROUND('B+'!T36/2,2)</f>
        <v>22.66</v>
      </c>
      <c r="T36" s="316">
        <f>ROUND('B+'!U36/2,2)</f>
        <v>22.35</v>
      </c>
      <c r="U36" s="161"/>
      <c r="V36" s="59">
        <f>ROUND('B+'!X36/2,2)</f>
        <v>22.35</v>
      </c>
      <c r="AC36" s="161"/>
    </row>
    <row r="37" spans="1:29" ht="15" hidden="1" outlineLevel="1" thickBot="1">
      <c r="A37" s="364">
        <f t="shared" si="0"/>
        <v>28</v>
      </c>
      <c r="C37" s="316">
        <f>ROUND('B+'!C37/2,2)</f>
        <v>26.61</v>
      </c>
      <c r="D37" s="316">
        <f>ROUND('B+'!D37/2,2)</f>
        <v>24.57</v>
      </c>
      <c r="E37" s="316">
        <f>ROUND('B+'!E37/2,2)</f>
        <v>24.57</v>
      </c>
      <c r="F37" s="161"/>
      <c r="G37" s="316">
        <f>ROUND('B+'!G37/2,2)</f>
        <v>24.57</v>
      </c>
      <c r="H37" s="316">
        <f>ROUND('B+'!H37/2,2)</f>
        <v>20.36</v>
      </c>
      <c r="I37" s="316">
        <f>ROUND('B+'!I37/2,2)</f>
        <v>19.88</v>
      </c>
      <c r="J37" s="316">
        <f>ROUND('B+'!J37/2,2)</f>
        <v>19.88</v>
      </c>
      <c r="K37" s="316">
        <f>ROUND('B+'!K37/2,2)</f>
        <v>19.88</v>
      </c>
      <c r="L37" s="316">
        <f>ROUND('B+'!L37/2,2)</f>
        <v>19.88</v>
      </c>
      <c r="M37" s="161"/>
      <c r="N37" s="316">
        <f>ROUND('B+'!O37/2,2)</f>
        <v>19.88</v>
      </c>
      <c r="O37" s="161"/>
      <c r="P37" s="316">
        <f>ROUND('B+'!Q37/2,2)</f>
        <v>27.28</v>
      </c>
      <c r="Q37" s="316">
        <f>ROUND('B+'!R37/2,2)</f>
        <v>25.74</v>
      </c>
      <c r="R37" s="316">
        <f>ROUND('B+'!S37/2,2)</f>
        <v>24.2</v>
      </c>
      <c r="S37" s="316">
        <f>ROUND('B+'!T37/2,2)</f>
        <v>22.66</v>
      </c>
      <c r="T37" s="316">
        <f>ROUND('B+'!U37/2,2)</f>
        <v>22.35</v>
      </c>
      <c r="U37" s="161"/>
      <c r="V37" s="59">
        <f>ROUND('B+'!X37/2,2)</f>
        <v>22.35</v>
      </c>
      <c r="AC37" s="161"/>
    </row>
    <row r="38" spans="1:29" ht="15" hidden="1" outlineLevel="1" thickBot="1">
      <c r="A38" s="364">
        <f t="shared" si="0"/>
        <v>29</v>
      </c>
      <c r="C38" s="316">
        <f>ROUND('B+'!C38/2,2)</f>
        <v>26.61</v>
      </c>
      <c r="D38" s="316">
        <f>ROUND('B+'!D38/2,2)</f>
        <v>24.57</v>
      </c>
      <c r="E38" s="316">
        <f>ROUND('B+'!E38/2,2)</f>
        <v>24.57</v>
      </c>
      <c r="F38" s="161"/>
      <c r="G38" s="316">
        <f>ROUND('B+'!G38/2,2)</f>
        <v>24.57</v>
      </c>
      <c r="H38" s="316">
        <f>ROUND('B+'!H38/2,2)</f>
        <v>20.36</v>
      </c>
      <c r="I38" s="316">
        <f>ROUND('B+'!I38/2,2)</f>
        <v>19.88</v>
      </c>
      <c r="J38" s="316">
        <f>ROUND('B+'!J38/2,2)</f>
        <v>19.88</v>
      </c>
      <c r="K38" s="316">
        <f>ROUND('B+'!K38/2,2)</f>
        <v>19.88</v>
      </c>
      <c r="L38" s="316">
        <f>ROUND('B+'!L38/2,2)</f>
        <v>19.88</v>
      </c>
      <c r="M38" s="161"/>
      <c r="N38" s="316">
        <f>ROUND('B+'!O38/2,2)</f>
        <v>19.88</v>
      </c>
      <c r="O38" s="161"/>
      <c r="P38" s="316">
        <f>ROUND('B+'!Q38/2,2)</f>
        <v>27.28</v>
      </c>
      <c r="Q38" s="316">
        <f>ROUND('B+'!R38/2,2)</f>
        <v>25.74</v>
      </c>
      <c r="R38" s="316">
        <f>ROUND('B+'!S38/2,2)</f>
        <v>24.2</v>
      </c>
      <c r="S38" s="316">
        <f>ROUND('B+'!T38/2,2)</f>
        <v>22.66</v>
      </c>
      <c r="T38" s="316">
        <f>ROUND('B+'!U38/2,2)</f>
        <v>22.35</v>
      </c>
      <c r="U38" s="161"/>
      <c r="V38" s="59">
        <f>ROUND('B+'!X38/2,2)</f>
        <v>22.35</v>
      </c>
      <c r="AC38" s="161"/>
    </row>
    <row r="39" spans="1:29" ht="15" hidden="1" outlineLevel="1" thickBot="1">
      <c r="A39" s="364">
        <f t="shared" si="0"/>
        <v>30</v>
      </c>
      <c r="C39" s="316">
        <f>ROUND('B+'!C39/2,2)</f>
        <v>26.61</v>
      </c>
      <c r="D39" s="316">
        <f>ROUND('B+'!D39/2,2)</f>
        <v>24.57</v>
      </c>
      <c r="E39" s="316">
        <f>ROUND('B+'!E39/2,2)</f>
        <v>24.57</v>
      </c>
      <c r="F39" s="161"/>
      <c r="G39" s="316">
        <f>ROUND('B+'!G39/2,2)</f>
        <v>24.57</v>
      </c>
      <c r="H39" s="316">
        <f>ROUND('B+'!H39/2,2)</f>
        <v>20.36</v>
      </c>
      <c r="I39" s="316">
        <f>ROUND('B+'!I39/2,2)</f>
        <v>19.88</v>
      </c>
      <c r="J39" s="316">
        <f>ROUND('B+'!J39/2,2)</f>
        <v>19.88</v>
      </c>
      <c r="K39" s="316">
        <f>ROUND('B+'!K39/2,2)</f>
        <v>19.88</v>
      </c>
      <c r="L39" s="316">
        <f>ROUND('B+'!L39/2,2)</f>
        <v>19.88</v>
      </c>
      <c r="M39" s="161"/>
      <c r="N39" s="316">
        <f>ROUND('B+'!O39/2,2)</f>
        <v>19.88</v>
      </c>
      <c r="O39" s="161"/>
      <c r="P39" s="316">
        <f>ROUND('B+'!Q39/2,2)</f>
        <v>27.28</v>
      </c>
      <c r="Q39" s="316">
        <f>ROUND('B+'!R39/2,2)</f>
        <v>25.74</v>
      </c>
      <c r="R39" s="316">
        <f>ROUND('B+'!S39/2,2)</f>
        <v>24.2</v>
      </c>
      <c r="S39" s="316">
        <f>ROUND('B+'!T39/2,2)</f>
        <v>22.66</v>
      </c>
      <c r="T39" s="316">
        <f>ROUND('B+'!U39/2,2)</f>
        <v>22.35</v>
      </c>
      <c r="U39" s="161"/>
      <c r="V39" s="59">
        <f>ROUND('B+'!X39/2,2)</f>
        <v>22.35</v>
      </c>
      <c r="AC39" s="161"/>
    </row>
    <row r="40" spans="1:29" ht="15" hidden="1" outlineLevel="1" thickBot="1">
      <c r="A40" s="364">
        <f t="shared" si="0"/>
        <v>31</v>
      </c>
      <c r="C40" s="316">
        <f>ROUND('B+'!C40/2,2)</f>
        <v>26.61</v>
      </c>
      <c r="D40" s="316">
        <f>ROUND('B+'!D40/2,2)</f>
        <v>24.57</v>
      </c>
      <c r="E40" s="316">
        <f>ROUND('B+'!E40/2,2)</f>
        <v>24.57</v>
      </c>
      <c r="F40" s="161"/>
      <c r="G40" s="316">
        <f>ROUND('B+'!G40/2,2)</f>
        <v>24.57</v>
      </c>
      <c r="H40" s="316">
        <f>ROUND('B+'!H40/2,2)</f>
        <v>20.36</v>
      </c>
      <c r="I40" s="316">
        <f>ROUND('B+'!I40/2,2)</f>
        <v>19.88</v>
      </c>
      <c r="J40" s="316">
        <f>ROUND('B+'!J40/2,2)</f>
        <v>19.88</v>
      </c>
      <c r="K40" s="316">
        <f>ROUND('B+'!K40/2,2)</f>
        <v>19.88</v>
      </c>
      <c r="L40" s="316">
        <f>ROUND('B+'!L40/2,2)</f>
        <v>19.88</v>
      </c>
      <c r="M40" s="161"/>
      <c r="N40" s="316">
        <f>ROUND('B+'!O40/2,2)</f>
        <v>19.88</v>
      </c>
      <c r="O40" s="161"/>
      <c r="P40" s="316">
        <f>ROUND('B+'!Q40/2,2)</f>
        <v>27.28</v>
      </c>
      <c r="Q40" s="316">
        <f>ROUND('B+'!R40/2,2)</f>
        <v>25.74</v>
      </c>
      <c r="R40" s="316">
        <f>ROUND('B+'!S40/2,2)</f>
        <v>24.2</v>
      </c>
      <c r="S40" s="316">
        <f>ROUND('B+'!T40/2,2)</f>
        <v>22.66</v>
      </c>
      <c r="T40" s="316">
        <f>ROUND('B+'!U40/2,2)</f>
        <v>22.35</v>
      </c>
      <c r="U40" s="161"/>
      <c r="V40" s="59">
        <f>ROUND('B+'!X40/2,2)</f>
        <v>22.35</v>
      </c>
      <c r="AC40" s="161"/>
    </row>
    <row r="41" spans="1:29" ht="15" hidden="1" outlineLevel="1" thickBot="1">
      <c r="A41" s="364">
        <f t="shared" si="0"/>
        <v>32</v>
      </c>
      <c r="C41" s="316">
        <f>ROUND('B+'!C41/2,2)</f>
        <v>26.61</v>
      </c>
      <c r="D41" s="316">
        <f>ROUND('B+'!D41/2,2)</f>
        <v>24.57</v>
      </c>
      <c r="E41" s="316">
        <f>ROUND('B+'!E41/2,2)</f>
        <v>24.57</v>
      </c>
      <c r="F41" s="161"/>
      <c r="G41" s="316">
        <f>ROUND('B+'!G41/2,2)</f>
        <v>24.57</v>
      </c>
      <c r="H41" s="316">
        <f>ROUND('B+'!H41/2,2)</f>
        <v>20.36</v>
      </c>
      <c r="I41" s="316">
        <f>ROUND('B+'!I41/2,2)</f>
        <v>19.88</v>
      </c>
      <c r="J41" s="316">
        <f>ROUND('B+'!J41/2,2)</f>
        <v>19.88</v>
      </c>
      <c r="K41" s="316">
        <f>ROUND('B+'!K41/2,2)</f>
        <v>19.88</v>
      </c>
      <c r="L41" s="316">
        <f>ROUND('B+'!L41/2,2)</f>
        <v>19.88</v>
      </c>
      <c r="M41" s="161"/>
      <c r="N41" s="316">
        <f>ROUND('B+'!O41/2,2)</f>
        <v>19.88</v>
      </c>
      <c r="O41" s="161"/>
      <c r="P41" s="316">
        <f>ROUND('B+'!Q41/2,2)</f>
        <v>27.28</v>
      </c>
      <c r="Q41" s="316">
        <f>ROUND('B+'!R41/2,2)</f>
        <v>25.74</v>
      </c>
      <c r="R41" s="316">
        <f>ROUND('B+'!S41/2,2)</f>
        <v>24.2</v>
      </c>
      <c r="S41" s="316">
        <f>ROUND('B+'!T41/2,2)</f>
        <v>22.66</v>
      </c>
      <c r="T41" s="316">
        <f>ROUND('B+'!U41/2,2)</f>
        <v>22.35</v>
      </c>
      <c r="U41" s="161"/>
      <c r="V41" s="59">
        <f>ROUND('B+'!X41/2,2)</f>
        <v>22.35</v>
      </c>
      <c r="AC41" s="161"/>
    </row>
    <row r="42" spans="1:29" ht="15" hidden="1" outlineLevel="1" thickBot="1">
      <c r="A42" s="364">
        <f t="shared" si="0"/>
        <v>33</v>
      </c>
      <c r="C42" s="316">
        <f>ROUND('B+'!C42/2,2)</f>
        <v>26.61</v>
      </c>
      <c r="D42" s="316">
        <f>ROUND('B+'!D42/2,2)</f>
        <v>24.57</v>
      </c>
      <c r="E42" s="316">
        <f>ROUND('B+'!E42/2,2)</f>
        <v>24.57</v>
      </c>
      <c r="F42" s="161"/>
      <c r="G42" s="316">
        <f>ROUND('B+'!G42/2,2)</f>
        <v>24.57</v>
      </c>
      <c r="H42" s="316">
        <f>ROUND('B+'!H42/2,2)</f>
        <v>20.36</v>
      </c>
      <c r="I42" s="316">
        <f>ROUND('B+'!I42/2,2)</f>
        <v>19.88</v>
      </c>
      <c r="J42" s="316">
        <f>ROUND('B+'!J42/2,2)</f>
        <v>19.88</v>
      </c>
      <c r="K42" s="316">
        <f>ROUND('B+'!K42/2,2)</f>
        <v>19.88</v>
      </c>
      <c r="L42" s="316">
        <f>ROUND('B+'!L42/2,2)</f>
        <v>19.88</v>
      </c>
      <c r="M42" s="161"/>
      <c r="N42" s="316">
        <f>ROUND('B+'!O42/2,2)</f>
        <v>19.88</v>
      </c>
      <c r="O42" s="161"/>
      <c r="P42" s="316">
        <f>ROUND('B+'!Q42/2,2)</f>
        <v>27.28</v>
      </c>
      <c r="Q42" s="316">
        <f>ROUND('B+'!R42/2,2)</f>
        <v>25.74</v>
      </c>
      <c r="R42" s="316">
        <f>ROUND('B+'!S42/2,2)</f>
        <v>24.2</v>
      </c>
      <c r="S42" s="316">
        <f>ROUND('B+'!T42/2,2)</f>
        <v>22.66</v>
      </c>
      <c r="T42" s="316">
        <f>ROUND('B+'!U42/2,2)</f>
        <v>22.35</v>
      </c>
      <c r="U42" s="161"/>
      <c r="V42" s="59">
        <f>ROUND('B+'!X42/2,2)</f>
        <v>22.35</v>
      </c>
      <c r="AC42" s="161"/>
    </row>
    <row r="43" spans="1:29" ht="15" hidden="1" outlineLevel="1" thickBot="1">
      <c r="A43" s="364">
        <f t="shared" si="0"/>
        <v>34</v>
      </c>
      <c r="C43" s="316">
        <f>ROUND('B+'!C43/2,2)</f>
        <v>26.61</v>
      </c>
      <c r="D43" s="316">
        <f>ROUND('B+'!D43/2,2)</f>
        <v>24.57</v>
      </c>
      <c r="E43" s="316">
        <f>ROUND('B+'!E43/2,2)</f>
        <v>24.57</v>
      </c>
      <c r="F43" s="161"/>
      <c r="G43" s="316">
        <f>ROUND('B+'!G43/2,2)</f>
        <v>24.57</v>
      </c>
      <c r="H43" s="316">
        <f>ROUND('B+'!H43/2,2)</f>
        <v>20.36</v>
      </c>
      <c r="I43" s="316">
        <f>ROUND('B+'!I43/2,2)</f>
        <v>19.88</v>
      </c>
      <c r="J43" s="316">
        <f>ROUND('B+'!J43/2,2)</f>
        <v>19.88</v>
      </c>
      <c r="K43" s="316">
        <f>ROUND('B+'!K43/2,2)</f>
        <v>19.88</v>
      </c>
      <c r="L43" s="316">
        <f>ROUND('B+'!L43/2,2)</f>
        <v>19.88</v>
      </c>
      <c r="M43" s="161"/>
      <c r="N43" s="316">
        <f>ROUND('B+'!O43/2,2)</f>
        <v>19.88</v>
      </c>
      <c r="O43" s="161"/>
      <c r="P43" s="316">
        <f>ROUND('B+'!Q43/2,2)</f>
        <v>27.28</v>
      </c>
      <c r="Q43" s="316">
        <f>ROUND('B+'!R43/2,2)</f>
        <v>25.74</v>
      </c>
      <c r="R43" s="316">
        <f>ROUND('B+'!S43/2,2)</f>
        <v>24.2</v>
      </c>
      <c r="S43" s="316">
        <f>ROUND('B+'!T43/2,2)</f>
        <v>22.66</v>
      </c>
      <c r="T43" s="316">
        <f>ROUND('B+'!U43/2,2)</f>
        <v>22.35</v>
      </c>
      <c r="U43" s="161"/>
      <c r="V43" s="59">
        <f>ROUND('B+'!X43/2,2)</f>
        <v>22.35</v>
      </c>
      <c r="AC43" s="161"/>
    </row>
    <row r="44" spans="1:29" ht="15" hidden="1" outlineLevel="1" thickBot="1">
      <c r="A44" s="364">
        <f t="shared" si="0"/>
        <v>35</v>
      </c>
      <c r="C44" s="316">
        <f>ROUND('B+'!C44/2,2)</f>
        <v>26.61</v>
      </c>
      <c r="D44" s="316">
        <f>ROUND('B+'!D44/2,2)</f>
        <v>24.57</v>
      </c>
      <c r="E44" s="316">
        <f>ROUND('B+'!E44/2,2)</f>
        <v>24.57</v>
      </c>
      <c r="F44" s="161"/>
      <c r="G44" s="316">
        <f>ROUND('B+'!G44/2,2)</f>
        <v>24.57</v>
      </c>
      <c r="H44" s="316">
        <f>ROUND('B+'!H44/2,2)</f>
        <v>20.36</v>
      </c>
      <c r="I44" s="316">
        <f>ROUND('B+'!I44/2,2)</f>
        <v>19.88</v>
      </c>
      <c r="J44" s="316">
        <f>ROUND('B+'!J44/2,2)</f>
        <v>19.88</v>
      </c>
      <c r="K44" s="316">
        <f>ROUND('B+'!K44/2,2)</f>
        <v>19.88</v>
      </c>
      <c r="L44" s="316">
        <f>ROUND('B+'!L44/2,2)</f>
        <v>19.88</v>
      </c>
      <c r="M44" s="161"/>
      <c r="N44" s="316">
        <f>ROUND('B+'!O44/2,2)</f>
        <v>19.88</v>
      </c>
      <c r="O44" s="161"/>
      <c r="P44" s="316">
        <f>ROUND('B+'!Q44/2,2)</f>
        <v>27.28</v>
      </c>
      <c r="Q44" s="316">
        <f>ROUND('B+'!R44/2,2)</f>
        <v>25.74</v>
      </c>
      <c r="R44" s="316">
        <f>ROUND('B+'!S44/2,2)</f>
        <v>24.2</v>
      </c>
      <c r="S44" s="316">
        <f>ROUND('B+'!T44/2,2)</f>
        <v>22.66</v>
      </c>
      <c r="T44" s="316">
        <f>ROUND('B+'!U44/2,2)</f>
        <v>22.35</v>
      </c>
      <c r="U44" s="161"/>
      <c r="V44" s="59">
        <f>ROUND('B+'!X44/2,2)</f>
        <v>22.35</v>
      </c>
      <c r="AC44" s="161"/>
    </row>
    <row r="45" spans="1:29" ht="15" hidden="1" outlineLevel="1" thickBot="1">
      <c r="A45" s="364">
        <f t="shared" si="0"/>
        <v>36</v>
      </c>
      <c r="C45" s="316">
        <f>ROUND('B+'!C45/2,2)</f>
        <v>26.61</v>
      </c>
      <c r="D45" s="316">
        <f>ROUND('B+'!D45/2,2)</f>
        <v>24.57</v>
      </c>
      <c r="E45" s="316">
        <f>ROUND('B+'!E45/2,2)</f>
        <v>24.57</v>
      </c>
      <c r="F45" s="161"/>
      <c r="G45" s="316">
        <f>ROUND('B+'!G45/2,2)</f>
        <v>24.57</v>
      </c>
      <c r="H45" s="316">
        <f>ROUND('B+'!H45/2,2)</f>
        <v>20.36</v>
      </c>
      <c r="I45" s="316">
        <f>ROUND('B+'!I45/2,2)</f>
        <v>19.88</v>
      </c>
      <c r="J45" s="316">
        <f>ROUND('B+'!J45/2,2)</f>
        <v>19.88</v>
      </c>
      <c r="K45" s="316">
        <f>ROUND('B+'!K45/2,2)</f>
        <v>19.88</v>
      </c>
      <c r="L45" s="316">
        <f>ROUND('B+'!L45/2,2)</f>
        <v>19.88</v>
      </c>
      <c r="M45" s="161"/>
      <c r="N45" s="316">
        <f>ROUND('B+'!O45/2,2)</f>
        <v>19.88</v>
      </c>
      <c r="O45" s="161"/>
      <c r="P45" s="316">
        <f>ROUND('B+'!Q45/2,2)</f>
        <v>27.28</v>
      </c>
      <c r="Q45" s="316">
        <f>ROUND('B+'!R45/2,2)</f>
        <v>25.74</v>
      </c>
      <c r="R45" s="316">
        <f>ROUND('B+'!S45/2,2)</f>
        <v>24.2</v>
      </c>
      <c r="S45" s="316">
        <f>ROUND('B+'!T45/2,2)</f>
        <v>22.66</v>
      </c>
      <c r="T45" s="316">
        <f>ROUND('B+'!U45/2,2)</f>
        <v>22.35</v>
      </c>
      <c r="U45" s="161"/>
      <c r="V45" s="59">
        <f>ROUND('B+'!X45/2,2)</f>
        <v>22.35</v>
      </c>
      <c r="AC45" s="161"/>
    </row>
    <row r="46" spans="1:29" ht="15" hidden="1" outlineLevel="1" thickBot="1">
      <c r="A46" s="364">
        <f t="shared" si="0"/>
        <v>37</v>
      </c>
      <c r="C46" s="316">
        <f>ROUND('B+'!C46/2,2)</f>
        <v>26.61</v>
      </c>
      <c r="D46" s="316">
        <f>ROUND('B+'!D46/2,2)</f>
        <v>24.57</v>
      </c>
      <c r="E46" s="316">
        <f>ROUND('B+'!E46/2,2)</f>
        <v>24.57</v>
      </c>
      <c r="F46" s="161"/>
      <c r="G46" s="316">
        <f>ROUND('B+'!G46/2,2)</f>
        <v>24.57</v>
      </c>
      <c r="H46" s="316">
        <f>ROUND('B+'!H46/2,2)</f>
        <v>20.36</v>
      </c>
      <c r="I46" s="316">
        <f>ROUND('B+'!I46/2,2)</f>
        <v>19.88</v>
      </c>
      <c r="J46" s="316">
        <f>ROUND('B+'!J46/2,2)</f>
        <v>19.88</v>
      </c>
      <c r="K46" s="316">
        <f>ROUND('B+'!K46/2,2)</f>
        <v>19.88</v>
      </c>
      <c r="L46" s="316">
        <f>ROUND('B+'!L46/2,2)</f>
        <v>19.88</v>
      </c>
      <c r="M46" s="161"/>
      <c r="N46" s="316">
        <f>ROUND('B+'!O46/2,2)</f>
        <v>19.88</v>
      </c>
      <c r="O46" s="161"/>
      <c r="P46" s="316">
        <f>ROUND('B+'!Q46/2,2)</f>
        <v>27.28</v>
      </c>
      <c r="Q46" s="316">
        <f>ROUND('B+'!R46/2,2)</f>
        <v>25.74</v>
      </c>
      <c r="R46" s="316">
        <f>ROUND('B+'!S46/2,2)</f>
        <v>24.2</v>
      </c>
      <c r="S46" s="316">
        <f>ROUND('B+'!T46/2,2)</f>
        <v>22.66</v>
      </c>
      <c r="T46" s="316">
        <f>ROUND('B+'!U46/2,2)</f>
        <v>22.35</v>
      </c>
      <c r="U46" s="161"/>
      <c r="V46" s="59">
        <f>ROUND('B+'!X46/2,2)</f>
        <v>22.35</v>
      </c>
      <c r="AC46" s="161"/>
    </row>
    <row r="47" spans="1:29" ht="15" hidden="1" outlineLevel="1" thickBot="1">
      <c r="A47" s="364">
        <f t="shared" si="0"/>
        <v>38</v>
      </c>
      <c r="C47" s="316">
        <f>ROUND('B+'!C47/2,2)</f>
        <v>26.61</v>
      </c>
      <c r="D47" s="316">
        <f>ROUND('B+'!D47/2,2)</f>
        <v>24.57</v>
      </c>
      <c r="E47" s="316">
        <f>ROUND('B+'!E47/2,2)</f>
        <v>24.57</v>
      </c>
      <c r="F47" s="161"/>
      <c r="G47" s="316">
        <f>ROUND('B+'!G47/2,2)</f>
        <v>24.57</v>
      </c>
      <c r="H47" s="316">
        <f>ROUND('B+'!H47/2,2)</f>
        <v>20.36</v>
      </c>
      <c r="I47" s="316">
        <f>ROUND('B+'!I47/2,2)</f>
        <v>19.88</v>
      </c>
      <c r="J47" s="316">
        <f>ROUND('B+'!J47/2,2)</f>
        <v>19.88</v>
      </c>
      <c r="K47" s="316">
        <f>ROUND('B+'!K47/2,2)</f>
        <v>19.88</v>
      </c>
      <c r="L47" s="316">
        <f>ROUND('B+'!L47/2,2)</f>
        <v>19.88</v>
      </c>
      <c r="M47" s="161"/>
      <c r="N47" s="316">
        <f>ROUND('B+'!O47/2,2)</f>
        <v>19.88</v>
      </c>
      <c r="O47" s="161"/>
      <c r="P47" s="316">
        <f>ROUND('B+'!Q47/2,2)</f>
        <v>27.28</v>
      </c>
      <c r="Q47" s="316">
        <f>ROUND('B+'!R47/2,2)</f>
        <v>25.74</v>
      </c>
      <c r="R47" s="316">
        <f>ROUND('B+'!S47/2,2)</f>
        <v>24.2</v>
      </c>
      <c r="S47" s="316">
        <f>ROUND('B+'!T47/2,2)</f>
        <v>22.66</v>
      </c>
      <c r="T47" s="316">
        <f>ROUND('B+'!U47/2,2)</f>
        <v>22.35</v>
      </c>
      <c r="U47" s="161"/>
      <c r="V47" s="59">
        <f>ROUND('B+'!X47/2,2)</f>
        <v>22.35</v>
      </c>
      <c r="AC47" s="161"/>
    </row>
    <row r="48" spans="1:29" ht="15" hidden="1" outlineLevel="1" thickBot="1">
      <c r="A48" s="364">
        <f t="shared" si="0"/>
        <v>39</v>
      </c>
      <c r="C48" s="316">
        <f>ROUND('B+'!C48/2,2)</f>
        <v>26.61</v>
      </c>
      <c r="D48" s="316">
        <f>ROUND('B+'!D48/2,2)</f>
        <v>24.57</v>
      </c>
      <c r="E48" s="316">
        <f>ROUND('B+'!E48/2,2)</f>
        <v>24.57</v>
      </c>
      <c r="F48" s="161"/>
      <c r="G48" s="316">
        <f>ROUND('B+'!G48/2,2)</f>
        <v>24.57</v>
      </c>
      <c r="H48" s="316">
        <f>ROUND('B+'!H48/2,2)</f>
        <v>20.36</v>
      </c>
      <c r="I48" s="316">
        <f>ROUND('B+'!I48/2,2)</f>
        <v>19.88</v>
      </c>
      <c r="J48" s="316">
        <f>ROUND('B+'!J48/2,2)</f>
        <v>19.88</v>
      </c>
      <c r="K48" s="316">
        <f>ROUND('B+'!K48/2,2)</f>
        <v>19.88</v>
      </c>
      <c r="L48" s="316">
        <f>ROUND('B+'!L48/2,2)</f>
        <v>19.88</v>
      </c>
      <c r="M48" s="161"/>
      <c r="N48" s="316">
        <f>ROUND('B+'!O48/2,2)</f>
        <v>19.88</v>
      </c>
      <c r="O48" s="161"/>
      <c r="P48" s="316">
        <f>ROUND('B+'!Q48/2,2)</f>
        <v>27.28</v>
      </c>
      <c r="Q48" s="316">
        <f>ROUND('B+'!R48/2,2)</f>
        <v>25.74</v>
      </c>
      <c r="R48" s="316">
        <f>ROUND('B+'!S48/2,2)</f>
        <v>24.2</v>
      </c>
      <c r="S48" s="316">
        <f>ROUND('B+'!T48/2,2)</f>
        <v>22.66</v>
      </c>
      <c r="T48" s="316">
        <f>ROUND('B+'!U48/2,2)</f>
        <v>22.35</v>
      </c>
      <c r="U48" s="161"/>
      <c r="V48" s="59">
        <f>ROUND('B+'!X48/2,2)</f>
        <v>22.35</v>
      </c>
      <c r="AC48" s="161"/>
    </row>
    <row r="49" spans="1:29" ht="15" collapsed="1" thickBot="1">
      <c r="A49" s="364">
        <f t="shared" si="0"/>
        <v>40</v>
      </c>
      <c r="C49" s="316">
        <f>ROUND('B+'!C49/2,2)</f>
        <v>26.61</v>
      </c>
      <c r="D49" s="316">
        <f>ROUND('B+'!D49/2,2)</f>
        <v>24.57</v>
      </c>
      <c r="E49" s="316">
        <f>ROUND('B+'!E49/2,2)</f>
        <v>24.57</v>
      </c>
      <c r="F49" s="161"/>
      <c r="G49" s="316">
        <f>ROUND('B+'!G49/2,2)</f>
        <v>24.57</v>
      </c>
      <c r="H49" s="316">
        <f>ROUND('B+'!H49/2,2)</f>
        <v>20.36</v>
      </c>
      <c r="I49" s="316">
        <f>ROUND('B+'!I49/2,2)</f>
        <v>19.88</v>
      </c>
      <c r="J49" s="316">
        <f>ROUND('B+'!J49/2,2)</f>
        <v>19.88</v>
      </c>
      <c r="K49" s="316">
        <f>ROUND('B+'!K49/2,2)</f>
        <v>19.88</v>
      </c>
      <c r="L49" s="316">
        <f>ROUND('B+'!L49/2,2)</f>
        <v>19.88</v>
      </c>
      <c r="M49" s="161"/>
      <c r="N49" s="316">
        <f>ROUND('B+'!O49/2,2)</f>
        <v>19.88</v>
      </c>
      <c r="O49" s="161"/>
      <c r="P49" s="316">
        <f>ROUND('B+'!Q49/2,2)</f>
        <v>27.28</v>
      </c>
      <c r="Q49" s="316">
        <f>ROUND('B+'!R49/2,2)</f>
        <v>25.74</v>
      </c>
      <c r="R49" s="316">
        <f>ROUND('B+'!S49/2,2)</f>
        <v>24.2</v>
      </c>
      <c r="S49" s="316">
        <f>ROUND('B+'!T49/2,2)</f>
        <v>22.66</v>
      </c>
      <c r="T49" s="316">
        <f>ROUND('B+'!U49/2,2)</f>
        <v>22.35</v>
      </c>
      <c r="U49" s="161"/>
      <c r="V49" s="59">
        <f>ROUND('B+'!X49/2,2)</f>
        <v>22.35</v>
      </c>
      <c r="AC49" s="161"/>
    </row>
    <row r="50" spans="1:29" ht="15" thickBot="1">
      <c r="A50" s="364">
        <f t="shared" si="0"/>
        <v>41</v>
      </c>
      <c r="C50" s="316">
        <f>ROUND('B+'!C50/2,2)</f>
        <v>26.61</v>
      </c>
      <c r="D50" s="316">
        <f>ROUND('B+'!D50/2,2)</f>
        <v>24.57</v>
      </c>
      <c r="E50" s="316">
        <f>ROUND('B+'!E50/2,2)</f>
        <v>24.57</v>
      </c>
      <c r="F50" s="161"/>
      <c r="G50" s="316">
        <f>ROUND('B+'!G50/2,2)</f>
        <v>24.57</v>
      </c>
      <c r="H50" s="316">
        <f>ROUND('B+'!H50/2,2)</f>
        <v>20.36</v>
      </c>
      <c r="I50" s="316">
        <f>ROUND('B+'!I50/2,2)</f>
        <v>19.88</v>
      </c>
      <c r="J50" s="316">
        <f>ROUND('B+'!J50/2,2)</f>
        <v>19.88</v>
      </c>
      <c r="K50" s="316">
        <f>ROUND('B+'!K50/2,2)</f>
        <v>19.88</v>
      </c>
      <c r="L50" s="316">
        <f>ROUND('B+'!L50/2,2)</f>
        <v>19.88</v>
      </c>
      <c r="M50" s="161"/>
      <c r="N50" s="316">
        <f>ROUND('B+'!O50/2,2)</f>
        <v>19.88</v>
      </c>
      <c r="O50" s="161"/>
      <c r="P50" s="316">
        <f>ROUND('B+'!Q50/2,2)</f>
        <v>27.28</v>
      </c>
      <c r="Q50" s="316">
        <f>ROUND('B+'!R50/2,2)</f>
        <v>25.74</v>
      </c>
      <c r="R50" s="316">
        <f>ROUND('B+'!S50/2,2)</f>
        <v>24.2</v>
      </c>
      <c r="S50" s="316">
        <f>ROUND('B+'!T50/2,2)</f>
        <v>22.66</v>
      </c>
      <c r="T50" s="316">
        <f>ROUND('B+'!U50/2,2)</f>
        <v>22.35</v>
      </c>
      <c r="U50" s="161"/>
      <c r="V50" s="59">
        <f>ROUND('B+'!X50/2,2)</f>
        <v>22.35</v>
      </c>
      <c r="AC50" s="161"/>
    </row>
    <row r="51" spans="1:29" ht="15" thickBot="1">
      <c r="A51" s="364">
        <f t="shared" si="0"/>
        <v>42</v>
      </c>
      <c r="C51" s="316">
        <f>ROUND('B+'!C51/2,2)</f>
        <v>26.61</v>
      </c>
      <c r="D51" s="316">
        <f>ROUND('B+'!D51/2,2)</f>
        <v>24.57</v>
      </c>
      <c r="E51" s="316">
        <f>ROUND('B+'!E51/2,2)</f>
        <v>24.57</v>
      </c>
      <c r="F51" s="161"/>
      <c r="G51" s="316">
        <f>ROUND('B+'!G51/2,2)</f>
        <v>24.57</v>
      </c>
      <c r="H51" s="316">
        <f>ROUND('B+'!H51/2,2)</f>
        <v>20.36</v>
      </c>
      <c r="I51" s="316">
        <f>ROUND('B+'!I51/2,2)</f>
        <v>19.88</v>
      </c>
      <c r="J51" s="316">
        <f>ROUND('B+'!J51/2,2)</f>
        <v>19.88</v>
      </c>
      <c r="K51" s="316">
        <f>ROUND('B+'!K51/2,2)</f>
        <v>19.88</v>
      </c>
      <c r="L51" s="316">
        <f>ROUND('B+'!L51/2,2)</f>
        <v>19.88</v>
      </c>
      <c r="M51" s="161"/>
      <c r="N51" s="316">
        <f>ROUND('B+'!O51/2,2)</f>
        <v>19.88</v>
      </c>
      <c r="O51" s="161"/>
      <c r="P51" s="316">
        <f>ROUND('B+'!Q51/2,2)</f>
        <v>27.28</v>
      </c>
      <c r="Q51" s="316">
        <f>ROUND('B+'!R51/2,2)</f>
        <v>25.74</v>
      </c>
      <c r="R51" s="316">
        <f>ROUND('B+'!S51/2,2)</f>
        <v>24.2</v>
      </c>
      <c r="S51" s="316">
        <f>ROUND('B+'!T51/2,2)</f>
        <v>22.66</v>
      </c>
      <c r="T51" s="316">
        <f>ROUND('B+'!U51/2,2)</f>
        <v>22.35</v>
      </c>
      <c r="U51" s="161"/>
      <c r="V51" s="59">
        <f>ROUND('B+'!X51/2,2)</f>
        <v>22.35</v>
      </c>
      <c r="AC51" s="161"/>
    </row>
    <row r="52" spans="1:29" ht="15" thickBot="1">
      <c r="A52" s="364">
        <f t="shared" si="0"/>
        <v>43</v>
      </c>
      <c r="C52" s="316">
        <f>ROUND('B+'!C52/2,2)</f>
        <v>26.86</v>
      </c>
      <c r="D52" s="316">
        <f>ROUND('B+'!D52/2,2)</f>
        <v>24.8</v>
      </c>
      <c r="E52" s="316">
        <f>ROUND('B+'!E52/2,2)</f>
        <v>24.8</v>
      </c>
      <c r="F52" s="161"/>
      <c r="G52" s="316">
        <f>ROUND('B+'!G52/2,2)</f>
        <v>24.8</v>
      </c>
      <c r="H52" s="316">
        <f>ROUND('B+'!H52/2,2)</f>
        <v>20.36</v>
      </c>
      <c r="I52" s="316">
        <f>ROUND('B+'!I52/2,2)</f>
        <v>19.88</v>
      </c>
      <c r="J52" s="316">
        <f>ROUND('B+'!J52/2,2)</f>
        <v>19.88</v>
      </c>
      <c r="K52" s="316">
        <f>ROUND('B+'!K52/2,2)</f>
        <v>19.88</v>
      </c>
      <c r="L52" s="316">
        <f>ROUND('B+'!L52/2,2)</f>
        <v>19.88</v>
      </c>
      <c r="M52" s="161"/>
      <c r="N52" s="316">
        <f>ROUND('B+'!O52/2,2)</f>
        <v>19.88</v>
      </c>
      <c r="O52" s="161"/>
      <c r="P52" s="316">
        <f>ROUND('B+'!Q52/2,2)</f>
        <v>27.28</v>
      </c>
      <c r="Q52" s="316">
        <f>ROUND('B+'!R52/2,2)</f>
        <v>25.74</v>
      </c>
      <c r="R52" s="316">
        <f>ROUND('B+'!S52/2,2)</f>
        <v>24.2</v>
      </c>
      <c r="S52" s="316">
        <f>ROUND('B+'!T52/2,2)</f>
        <v>22.66</v>
      </c>
      <c r="T52" s="316">
        <f>ROUND('B+'!U52/2,2)</f>
        <v>22.35</v>
      </c>
      <c r="U52" s="161"/>
      <c r="V52" s="59">
        <f>ROUND('B+'!X52/2,2)</f>
        <v>22.35</v>
      </c>
      <c r="AC52" s="161"/>
    </row>
    <row r="53" spans="1:29" ht="15" thickBot="1">
      <c r="A53" s="364">
        <f t="shared" si="0"/>
        <v>44</v>
      </c>
      <c r="C53" s="316">
        <f>ROUND('B+'!C53/2,2)</f>
        <v>27.35</v>
      </c>
      <c r="D53" s="316">
        <f>ROUND('B+'!D53/2,2)</f>
        <v>25.25</v>
      </c>
      <c r="E53" s="316">
        <f>ROUND('B+'!E53/2,2)</f>
        <v>25.25</v>
      </c>
      <c r="F53" s="161"/>
      <c r="G53" s="316">
        <f>ROUND('B+'!G53/2,2)</f>
        <v>25.25</v>
      </c>
      <c r="H53" s="316">
        <f>ROUND('B+'!H53/2,2)</f>
        <v>20.36</v>
      </c>
      <c r="I53" s="316">
        <f>ROUND('B+'!I53/2,2)</f>
        <v>19.88</v>
      </c>
      <c r="J53" s="316">
        <f>ROUND('B+'!J53/2,2)</f>
        <v>19.88</v>
      </c>
      <c r="K53" s="316">
        <f>ROUND('B+'!K53/2,2)</f>
        <v>19.88</v>
      </c>
      <c r="L53" s="316">
        <f>ROUND('B+'!L53/2,2)</f>
        <v>19.88</v>
      </c>
      <c r="M53" s="161"/>
      <c r="N53" s="316">
        <f>ROUND('B+'!O53/2,2)</f>
        <v>19.88</v>
      </c>
      <c r="O53" s="161"/>
      <c r="P53" s="316">
        <f>ROUND('B+'!Q53/2,2)</f>
        <v>27.28</v>
      </c>
      <c r="Q53" s="316">
        <f>ROUND('B+'!R53/2,2)</f>
        <v>25.74</v>
      </c>
      <c r="R53" s="316">
        <f>ROUND('B+'!S53/2,2)</f>
        <v>24.2</v>
      </c>
      <c r="S53" s="316">
        <f>ROUND('B+'!T53/2,2)</f>
        <v>22.66</v>
      </c>
      <c r="T53" s="316">
        <f>ROUND('B+'!U53/2,2)</f>
        <v>22.35</v>
      </c>
      <c r="U53" s="161"/>
      <c r="V53" s="59">
        <f>ROUND('B+'!X53/2,2)</f>
        <v>22.35</v>
      </c>
      <c r="AC53" s="161"/>
    </row>
    <row r="54" spans="1:29" ht="15" thickBot="1">
      <c r="A54" s="364">
        <f t="shared" si="0"/>
        <v>45</v>
      </c>
      <c r="C54" s="316">
        <f>ROUND('B+'!C54/2,2)</f>
        <v>27.84</v>
      </c>
      <c r="D54" s="316">
        <f>ROUND('B+'!D54/2,2)</f>
        <v>25.7</v>
      </c>
      <c r="E54" s="316">
        <f>ROUND('B+'!E54/2,2)</f>
        <v>25.7</v>
      </c>
      <c r="F54" s="161"/>
      <c r="G54" s="316">
        <f>ROUND('B+'!G54/2,2)</f>
        <v>25.7</v>
      </c>
      <c r="H54" s="316">
        <f>ROUND('B+'!H54/2,2)</f>
        <v>20.36</v>
      </c>
      <c r="I54" s="316">
        <f>ROUND('B+'!I54/2,2)</f>
        <v>19.88</v>
      </c>
      <c r="J54" s="316">
        <f>ROUND('B+'!J54/2,2)</f>
        <v>19.88</v>
      </c>
      <c r="K54" s="316">
        <f>ROUND('B+'!K54/2,2)</f>
        <v>19.88</v>
      </c>
      <c r="L54" s="316">
        <f>ROUND('B+'!L54/2,2)</f>
        <v>19.88</v>
      </c>
      <c r="M54" s="161"/>
      <c r="N54" s="316">
        <f>ROUND('B+'!O54/2,2)</f>
        <v>19.88</v>
      </c>
      <c r="O54" s="161"/>
      <c r="P54" s="316">
        <f>ROUND('B+'!Q54/2,2)</f>
        <v>27.28</v>
      </c>
      <c r="Q54" s="316">
        <f>ROUND('B+'!R54/2,2)</f>
        <v>25.74</v>
      </c>
      <c r="R54" s="316">
        <f>ROUND('B+'!S54/2,2)</f>
        <v>24.2</v>
      </c>
      <c r="S54" s="316">
        <f>ROUND('B+'!T54/2,2)</f>
        <v>22.66</v>
      </c>
      <c r="T54" s="316">
        <f>ROUND('B+'!U54/2,2)</f>
        <v>22.35</v>
      </c>
      <c r="U54" s="161"/>
      <c r="V54" s="59">
        <f>ROUND('B+'!X54/2,2)</f>
        <v>22.35</v>
      </c>
      <c r="AC54" s="161"/>
    </row>
    <row r="55" spans="1:29" ht="15" thickBot="1">
      <c r="A55" s="364">
        <f t="shared" si="0"/>
        <v>46</v>
      </c>
      <c r="C55" s="316">
        <f>ROUND('B+'!C55/2,2)</f>
        <v>28.33</v>
      </c>
      <c r="D55" s="316">
        <f>ROUND('B+'!D55/2,2)</f>
        <v>26.15</v>
      </c>
      <c r="E55" s="316">
        <f>ROUND('B+'!E55/2,2)</f>
        <v>26.15</v>
      </c>
      <c r="F55" s="161"/>
      <c r="G55" s="316">
        <f>ROUND('B+'!G55/2,2)</f>
        <v>26.15</v>
      </c>
      <c r="H55" s="316">
        <f>ROUND('B+'!H55/2,2)</f>
        <v>20.36</v>
      </c>
      <c r="I55" s="316">
        <f>ROUND('B+'!I55/2,2)</f>
        <v>19.88</v>
      </c>
      <c r="J55" s="316">
        <f>ROUND('B+'!J55/2,2)</f>
        <v>19.88</v>
      </c>
      <c r="K55" s="316">
        <f>ROUND('B+'!K55/2,2)</f>
        <v>19.88</v>
      </c>
      <c r="L55" s="316">
        <f>ROUND('B+'!L55/2,2)</f>
        <v>19.88</v>
      </c>
      <c r="M55" s="161"/>
      <c r="N55" s="316">
        <f>ROUND('B+'!O55/2,2)</f>
        <v>19.88</v>
      </c>
      <c r="O55" s="161"/>
      <c r="P55" s="316">
        <f>ROUND('B+'!Q55/2,2)</f>
        <v>27.28</v>
      </c>
      <c r="Q55" s="316">
        <f>ROUND('B+'!R55/2,2)</f>
        <v>25.74</v>
      </c>
      <c r="R55" s="316">
        <f>ROUND('B+'!S55/2,2)</f>
        <v>24.2</v>
      </c>
      <c r="S55" s="316">
        <f>ROUND('B+'!T55/2,2)</f>
        <v>22.66</v>
      </c>
      <c r="T55" s="316">
        <f>ROUND('B+'!U55/2,2)</f>
        <v>22.35</v>
      </c>
      <c r="U55" s="161"/>
      <c r="V55" s="59">
        <f>ROUND('B+'!X55/2,2)</f>
        <v>22.35</v>
      </c>
      <c r="AC55" s="161"/>
    </row>
    <row r="56" spans="1:29" ht="15" thickBot="1">
      <c r="A56" s="364">
        <f t="shared" si="0"/>
        <v>47</v>
      </c>
      <c r="C56" s="316">
        <f>ROUND('B+'!C56/2,2)</f>
        <v>28.82</v>
      </c>
      <c r="D56" s="316">
        <f>ROUND('B+'!D56/2,2)</f>
        <v>26.6</v>
      </c>
      <c r="E56" s="316">
        <f>ROUND('B+'!E56/2,2)</f>
        <v>26.6</v>
      </c>
      <c r="F56" s="161"/>
      <c r="G56" s="316">
        <f>ROUND('B+'!G56/2,2)</f>
        <v>26.6</v>
      </c>
      <c r="H56" s="316">
        <f>ROUND('B+'!H56/2,2)</f>
        <v>20.36</v>
      </c>
      <c r="I56" s="316">
        <f>ROUND('B+'!I56/2,2)</f>
        <v>19.88</v>
      </c>
      <c r="J56" s="316">
        <f>ROUND('B+'!J56/2,2)</f>
        <v>19.88</v>
      </c>
      <c r="K56" s="316">
        <f>ROUND('B+'!K56/2,2)</f>
        <v>19.88</v>
      </c>
      <c r="L56" s="316">
        <f>ROUND('B+'!L56/2,2)</f>
        <v>19.88</v>
      </c>
      <c r="M56" s="161"/>
      <c r="N56" s="316">
        <f>ROUND('B+'!O56/2,2)</f>
        <v>19.88</v>
      </c>
      <c r="O56" s="161"/>
      <c r="P56" s="316">
        <f>ROUND('B+'!Q56/2,2)</f>
        <v>27.28</v>
      </c>
      <c r="Q56" s="316">
        <f>ROUND('B+'!R56/2,2)</f>
        <v>25.74</v>
      </c>
      <c r="R56" s="316">
        <f>ROUND('B+'!S56/2,2)</f>
        <v>24.2</v>
      </c>
      <c r="S56" s="316">
        <f>ROUND('B+'!T56/2,2)</f>
        <v>22.66</v>
      </c>
      <c r="T56" s="316">
        <f>ROUND('B+'!U56/2,2)</f>
        <v>22.35</v>
      </c>
      <c r="U56" s="161"/>
      <c r="V56" s="59">
        <f>ROUND('B+'!X56/2,2)</f>
        <v>22.35</v>
      </c>
      <c r="AC56" s="161"/>
    </row>
    <row r="57" spans="1:29" ht="15" thickBot="1">
      <c r="A57" s="364">
        <f t="shared" si="0"/>
        <v>48</v>
      </c>
      <c r="C57" s="316">
        <f>ROUND('B+'!C57/2,2)</f>
        <v>29.31</v>
      </c>
      <c r="D57" s="316">
        <f>ROUND('B+'!D57/2,2)</f>
        <v>27.05</v>
      </c>
      <c r="E57" s="316">
        <f>ROUND('B+'!E57/2,2)</f>
        <v>27.05</v>
      </c>
      <c r="F57" s="161"/>
      <c r="G57" s="316">
        <f>ROUND('B+'!G57/2,2)</f>
        <v>27.05</v>
      </c>
      <c r="H57" s="316">
        <f>ROUND('B+'!H57/2,2)</f>
        <v>20.36</v>
      </c>
      <c r="I57" s="316">
        <f>ROUND('B+'!I57/2,2)</f>
        <v>19.88</v>
      </c>
      <c r="J57" s="316">
        <f>ROUND('B+'!J57/2,2)</f>
        <v>19.88</v>
      </c>
      <c r="K57" s="316">
        <f>ROUND('B+'!K57/2,2)</f>
        <v>19.88</v>
      </c>
      <c r="L57" s="316">
        <f>ROUND('B+'!L57/2,2)</f>
        <v>19.88</v>
      </c>
      <c r="M57" s="161"/>
      <c r="N57" s="316">
        <f>ROUND('B+'!O57/2,2)</f>
        <v>19.88</v>
      </c>
      <c r="O57" s="161"/>
      <c r="P57" s="316">
        <f>ROUND('B+'!Q57/2,2)</f>
        <v>27.28</v>
      </c>
      <c r="Q57" s="316">
        <f>ROUND('B+'!R57/2,2)</f>
        <v>25.74</v>
      </c>
      <c r="R57" s="316">
        <f>ROUND('B+'!S57/2,2)</f>
        <v>24.2</v>
      </c>
      <c r="S57" s="316">
        <f>ROUND('B+'!T57/2,2)</f>
        <v>22.66</v>
      </c>
      <c r="T57" s="316">
        <f>ROUND('B+'!U57/2,2)</f>
        <v>22.35</v>
      </c>
      <c r="U57" s="161"/>
      <c r="V57" s="59">
        <f>ROUND('B+'!X57/2,2)</f>
        <v>22.35</v>
      </c>
      <c r="AC57" s="161"/>
    </row>
    <row r="58" spans="1:29" ht="15" thickBot="1">
      <c r="A58" s="364">
        <f t="shared" si="0"/>
        <v>49</v>
      </c>
      <c r="C58" s="316">
        <f>ROUND('B+'!C58/2,2)</f>
        <v>29.79</v>
      </c>
      <c r="D58" s="316">
        <f>ROUND('B+'!D58/2,2)</f>
        <v>27.5</v>
      </c>
      <c r="E58" s="316">
        <f>ROUND('B+'!E58/2,2)</f>
        <v>27.5</v>
      </c>
      <c r="F58" s="161"/>
      <c r="G58" s="316">
        <f>ROUND('B+'!G58/2,2)</f>
        <v>27.5</v>
      </c>
      <c r="H58" s="316">
        <f>ROUND('B+'!H58/2,2)</f>
        <v>20.36</v>
      </c>
      <c r="I58" s="316">
        <f>ROUND('B+'!I58/2,2)</f>
        <v>19.88</v>
      </c>
      <c r="J58" s="316">
        <f>ROUND('B+'!J58/2,2)</f>
        <v>19.88</v>
      </c>
      <c r="K58" s="316">
        <f>ROUND('B+'!K58/2,2)</f>
        <v>19.88</v>
      </c>
      <c r="L58" s="316">
        <f>ROUND('B+'!L58/2,2)</f>
        <v>19.88</v>
      </c>
      <c r="M58" s="161"/>
      <c r="N58" s="316">
        <f>ROUND('B+'!O58/2,2)</f>
        <v>19.88</v>
      </c>
      <c r="O58" s="161"/>
      <c r="P58" s="316">
        <f>ROUND('B+'!Q58/2,2)</f>
        <v>27.28</v>
      </c>
      <c r="Q58" s="316">
        <f>ROUND('B+'!R58/2,2)</f>
        <v>25.74</v>
      </c>
      <c r="R58" s="316">
        <f>ROUND('B+'!S58/2,2)</f>
        <v>24.2</v>
      </c>
      <c r="S58" s="316">
        <f>ROUND('B+'!T58/2,2)</f>
        <v>22.66</v>
      </c>
      <c r="T58" s="316">
        <f>ROUND('B+'!U58/2,2)</f>
        <v>22.35</v>
      </c>
      <c r="U58" s="161"/>
      <c r="V58" s="59">
        <f>ROUND('B+'!X58/2,2)</f>
        <v>22.35</v>
      </c>
      <c r="AC58" s="161"/>
    </row>
    <row r="59" spans="1:29" ht="15" thickBot="1">
      <c r="A59" s="364">
        <f t="shared" si="0"/>
        <v>50</v>
      </c>
      <c r="C59" s="316">
        <f>ROUND('B+'!C59/2,2)</f>
        <v>30.28</v>
      </c>
      <c r="D59" s="316">
        <f>ROUND('B+'!D59/2,2)</f>
        <v>27.95</v>
      </c>
      <c r="E59" s="316">
        <f>ROUND('B+'!E59/2,2)</f>
        <v>27.95</v>
      </c>
      <c r="F59" s="161"/>
      <c r="G59" s="316">
        <f>ROUND('B+'!G59/2,2)</f>
        <v>27.95</v>
      </c>
      <c r="H59" s="316">
        <f>ROUND('B+'!H59/2,2)</f>
        <v>20.36</v>
      </c>
      <c r="I59" s="316">
        <f>ROUND('B+'!I59/2,2)</f>
        <v>19.88</v>
      </c>
      <c r="J59" s="316">
        <f>ROUND('B+'!J59/2,2)</f>
        <v>19.88</v>
      </c>
      <c r="K59" s="316">
        <f>ROUND('B+'!K59/2,2)</f>
        <v>19.88</v>
      </c>
      <c r="L59" s="316">
        <f>ROUND('B+'!L59/2,2)</f>
        <v>19.88</v>
      </c>
      <c r="M59" s="161"/>
      <c r="N59" s="316">
        <f>ROUND('B+'!O59/2,2)</f>
        <v>19.88</v>
      </c>
      <c r="O59" s="161"/>
      <c r="P59" s="316">
        <f>ROUND('B+'!Q59/2,2)</f>
        <v>27.28</v>
      </c>
      <c r="Q59" s="316">
        <f>ROUND('B+'!R59/2,2)</f>
        <v>25.74</v>
      </c>
      <c r="R59" s="316">
        <f>ROUND('B+'!S59/2,2)</f>
        <v>24.2</v>
      </c>
      <c r="S59" s="316">
        <f>ROUND('B+'!T59/2,2)</f>
        <v>22.66</v>
      </c>
      <c r="T59" s="316">
        <f>ROUND('B+'!U59/2,2)</f>
        <v>22.35</v>
      </c>
      <c r="U59" s="161"/>
      <c r="V59" s="59">
        <f>ROUND('B+'!X59/2,2)</f>
        <v>22.35</v>
      </c>
      <c r="AC59" s="161"/>
    </row>
    <row r="60" spans="1:29" ht="15" thickBot="1">
      <c r="A60" s="364">
        <f t="shared" si="0"/>
        <v>51</v>
      </c>
      <c r="C60" s="316">
        <f>ROUND('B+'!C60/2,2)</f>
        <v>30.77</v>
      </c>
      <c r="D60" s="316">
        <f>ROUND('B+'!D60/2,2)</f>
        <v>28.4</v>
      </c>
      <c r="E60" s="316">
        <f>ROUND('B+'!E60/2,2)</f>
        <v>28.4</v>
      </c>
      <c r="F60" s="161"/>
      <c r="G60" s="316">
        <f>ROUND('B+'!G60/2,2)</f>
        <v>28.4</v>
      </c>
      <c r="H60" s="316">
        <f>ROUND('B+'!H60/2,2)</f>
        <v>20.36</v>
      </c>
      <c r="I60" s="316">
        <f>ROUND('B+'!I60/2,2)</f>
        <v>19.88</v>
      </c>
      <c r="J60" s="316">
        <f>ROUND('B+'!J60/2,2)</f>
        <v>19.88</v>
      </c>
      <c r="K60" s="316">
        <f>ROUND('B+'!K60/2,2)</f>
        <v>19.88</v>
      </c>
      <c r="L60" s="316">
        <f>ROUND('B+'!L60/2,2)</f>
        <v>19.88</v>
      </c>
      <c r="M60" s="161"/>
      <c r="N60" s="316">
        <f>ROUND('B+'!O60/2,2)</f>
        <v>19.88</v>
      </c>
      <c r="O60" s="161"/>
      <c r="P60" s="316">
        <f>ROUND('B+'!Q60/2,2)</f>
        <v>27.28</v>
      </c>
      <c r="Q60" s="316">
        <f>ROUND('B+'!R60/2,2)</f>
        <v>25.74</v>
      </c>
      <c r="R60" s="316">
        <f>ROUND('B+'!S60/2,2)</f>
        <v>24.2</v>
      </c>
      <c r="S60" s="316">
        <f>ROUND('B+'!T60/2,2)</f>
        <v>22.66</v>
      </c>
      <c r="T60" s="316">
        <f>ROUND('B+'!U60/2,2)</f>
        <v>22.35</v>
      </c>
      <c r="U60" s="161"/>
      <c r="V60" s="59">
        <f>ROUND('B+'!X60/2,2)</f>
        <v>22.35</v>
      </c>
      <c r="AC60" s="161"/>
    </row>
    <row r="61" spans="1:29" ht="15" thickBot="1">
      <c r="A61" s="364">
        <f t="shared" si="0"/>
        <v>52</v>
      </c>
      <c r="C61" s="316">
        <f>ROUND('B+'!C61/2,2)</f>
        <v>31.26</v>
      </c>
      <c r="D61" s="316">
        <f>ROUND('B+'!D61/2,2)</f>
        <v>28.85</v>
      </c>
      <c r="E61" s="316">
        <f>ROUND('B+'!E61/2,2)</f>
        <v>28.85</v>
      </c>
      <c r="F61" s="161"/>
      <c r="G61" s="316">
        <f>ROUND('B+'!G61/2,2)</f>
        <v>28.85</v>
      </c>
      <c r="H61" s="316">
        <f>ROUND('B+'!H61/2,2)</f>
        <v>20.36</v>
      </c>
      <c r="I61" s="316">
        <f>ROUND('B+'!I61/2,2)</f>
        <v>19.88</v>
      </c>
      <c r="J61" s="316">
        <f>ROUND('B+'!J61/2,2)</f>
        <v>19.88</v>
      </c>
      <c r="K61" s="316">
        <f>ROUND('B+'!K61/2,2)</f>
        <v>19.88</v>
      </c>
      <c r="L61" s="316">
        <f>ROUND('B+'!L61/2,2)</f>
        <v>19.88</v>
      </c>
      <c r="M61" s="161"/>
      <c r="N61" s="316">
        <f>ROUND('B+'!O61/2,2)</f>
        <v>19.88</v>
      </c>
      <c r="O61" s="161"/>
      <c r="P61" s="316">
        <f>ROUND('B+'!Q61/2,2)</f>
        <v>27.28</v>
      </c>
      <c r="Q61" s="316">
        <f>ROUND('B+'!R61/2,2)</f>
        <v>25.74</v>
      </c>
      <c r="R61" s="316">
        <f>ROUND('B+'!S61/2,2)</f>
        <v>24.2</v>
      </c>
      <c r="S61" s="316">
        <f>ROUND('B+'!T61/2,2)</f>
        <v>22.66</v>
      </c>
      <c r="T61" s="316">
        <f>ROUND('B+'!U61/2,2)</f>
        <v>22.35</v>
      </c>
      <c r="U61" s="161"/>
      <c r="V61" s="59">
        <f>ROUND('B+'!X61/2,2)</f>
        <v>22.35</v>
      </c>
      <c r="AC61" s="161"/>
    </row>
    <row r="62" spans="1:29" ht="15" thickBot="1">
      <c r="A62" s="364">
        <f t="shared" si="0"/>
        <v>53</v>
      </c>
      <c r="C62" s="316">
        <f>ROUND('B+'!C62/2,2)</f>
        <v>31.75</v>
      </c>
      <c r="D62" s="316">
        <f>ROUND('B+'!D62/2,2)</f>
        <v>29.31</v>
      </c>
      <c r="E62" s="316">
        <f>ROUND('B+'!E62/2,2)</f>
        <v>29.31</v>
      </c>
      <c r="F62" s="161"/>
      <c r="G62" s="316">
        <f>ROUND('B+'!G62/2,2)</f>
        <v>29.31</v>
      </c>
      <c r="H62" s="316">
        <f>ROUND('B+'!H62/2,2)</f>
        <v>20.36</v>
      </c>
      <c r="I62" s="316">
        <f>ROUND('B+'!I62/2,2)</f>
        <v>19.88</v>
      </c>
      <c r="J62" s="316">
        <f>ROUND('B+'!J62/2,2)</f>
        <v>19.88</v>
      </c>
      <c r="K62" s="316">
        <f>ROUND('B+'!K62/2,2)</f>
        <v>19.88</v>
      </c>
      <c r="L62" s="316">
        <f>ROUND('B+'!L62/2,2)</f>
        <v>19.88</v>
      </c>
      <c r="M62" s="161"/>
      <c r="N62" s="316">
        <f>ROUND('B+'!O62/2,2)</f>
        <v>19.88</v>
      </c>
      <c r="O62" s="161"/>
      <c r="P62" s="316">
        <f>ROUND('B+'!Q62/2,2)</f>
        <v>27.28</v>
      </c>
      <c r="Q62" s="316">
        <f>ROUND('B+'!R62/2,2)</f>
        <v>25.74</v>
      </c>
      <c r="R62" s="316">
        <f>ROUND('B+'!S62/2,2)</f>
        <v>24.2</v>
      </c>
      <c r="S62" s="316">
        <f>ROUND('B+'!T62/2,2)</f>
        <v>22.66</v>
      </c>
      <c r="T62" s="316">
        <f>ROUND('B+'!U62/2,2)</f>
        <v>22.35</v>
      </c>
      <c r="U62" s="161"/>
      <c r="V62" s="59">
        <f>ROUND('B+'!X62/2,2)</f>
        <v>22.35</v>
      </c>
      <c r="AC62" s="161"/>
    </row>
    <row r="63" spans="1:29" ht="15" thickBot="1">
      <c r="A63" s="364">
        <f t="shared" si="0"/>
        <v>54</v>
      </c>
      <c r="C63" s="316">
        <f>ROUND('B+'!C63/2,2)</f>
        <v>31.99</v>
      </c>
      <c r="D63" s="316">
        <f>ROUND('B+'!D63/2,2)</f>
        <v>29.53</v>
      </c>
      <c r="E63" s="316">
        <f>ROUND('B+'!E63/2,2)</f>
        <v>29.53</v>
      </c>
      <c r="F63" s="161"/>
      <c r="G63" s="316">
        <f>ROUND('B+'!G63/2,2)</f>
        <v>29.53</v>
      </c>
      <c r="H63" s="316">
        <f>ROUND('B+'!H63/2,2)</f>
        <v>20.36</v>
      </c>
      <c r="I63" s="316">
        <f>ROUND('B+'!I63/2,2)</f>
        <v>19.88</v>
      </c>
      <c r="J63" s="316">
        <f>ROUND('B+'!J63/2,2)</f>
        <v>19.88</v>
      </c>
      <c r="K63" s="316">
        <f>ROUND('B+'!K63/2,2)</f>
        <v>19.88</v>
      </c>
      <c r="L63" s="316">
        <f>ROUND('B+'!L63/2,2)</f>
        <v>19.88</v>
      </c>
      <c r="M63" s="161"/>
      <c r="N63" s="316">
        <f>ROUND('B+'!O63/2,2)</f>
        <v>19.88</v>
      </c>
      <c r="O63" s="161"/>
      <c r="P63" s="316">
        <f>ROUND('B+'!Q63/2,2)</f>
        <v>27.28</v>
      </c>
      <c r="Q63" s="316">
        <f>ROUND('B+'!R63/2,2)</f>
        <v>25.74</v>
      </c>
      <c r="R63" s="316">
        <f>ROUND('B+'!S63/2,2)</f>
        <v>24.2</v>
      </c>
      <c r="S63" s="316">
        <f>ROUND('B+'!T63/2,2)</f>
        <v>22.66</v>
      </c>
      <c r="T63" s="316">
        <f>ROUND('B+'!U63/2,2)</f>
        <v>22.35</v>
      </c>
      <c r="U63" s="161"/>
      <c r="V63" s="59">
        <f>ROUND('B+'!X63/2,2)</f>
        <v>22.35</v>
      </c>
      <c r="AC63" s="161"/>
    </row>
    <row r="64" spans="1:29" ht="15" thickBot="1">
      <c r="A64" s="364">
        <f t="shared" si="0"/>
        <v>55</v>
      </c>
      <c r="C64" s="316">
        <f>ROUND('B+'!C64/2,2)</f>
        <v>32.24</v>
      </c>
      <c r="D64" s="316">
        <f>ROUND('B+'!D64/2,2)</f>
        <v>29.76</v>
      </c>
      <c r="E64" s="316">
        <f>ROUND('B+'!E64/2,2)</f>
        <v>29.76</v>
      </c>
      <c r="F64" s="161"/>
      <c r="G64" s="316">
        <f>ROUND('B+'!G64/2,2)</f>
        <v>29.76</v>
      </c>
      <c r="H64" s="316">
        <f>ROUND('B+'!H64/2,2)</f>
        <v>20.36</v>
      </c>
      <c r="I64" s="316">
        <f>ROUND('B+'!I64/2,2)</f>
        <v>19.88</v>
      </c>
      <c r="J64" s="316">
        <f>ROUND('B+'!J64/2,2)</f>
        <v>19.88</v>
      </c>
      <c r="K64" s="316">
        <f>ROUND('B+'!K64/2,2)</f>
        <v>19.88</v>
      </c>
      <c r="L64" s="316">
        <f>ROUND('B+'!L64/2,2)</f>
        <v>19.88</v>
      </c>
      <c r="M64" s="161"/>
      <c r="N64" s="316">
        <f>ROUND('B+'!O64/2,2)</f>
        <v>19.88</v>
      </c>
      <c r="O64" s="161"/>
      <c r="P64" s="316">
        <f>ROUND('B+'!Q64/2,2)</f>
        <v>27.28</v>
      </c>
      <c r="Q64" s="316">
        <f>ROUND('B+'!R64/2,2)</f>
        <v>25.74</v>
      </c>
      <c r="R64" s="316">
        <f>ROUND('B+'!S64/2,2)</f>
        <v>24.2</v>
      </c>
      <c r="S64" s="316">
        <f>ROUND('B+'!T64/2,2)</f>
        <v>22.66</v>
      </c>
      <c r="T64" s="316">
        <f>ROUND('B+'!U64/2,2)</f>
        <v>22.35</v>
      </c>
      <c r="U64" s="161"/>
      <c r="V64" s="59">
        <f>ROUND('B+'!X64/2,2)</f>
        <v>22.35</v>
      </c>
      <c r="AC64" s="161"/>
    </row>
    <row r="65" spans="1:29" ht="15" thickBot="1">
      <c r="A65" s="364">
        <f t="shared" si="0"/>
        <v>56</v>
      </c>
      <c r="C65" s="316">
        <f>ROUND('B+'!C65/2,2)</f>
        <v>32.72</v>
      </c>
      <c r="D65" s="316">
        <f>ROUND('B+'!D65/2,2)</f>
        <v>30.21</v>
      </c>
      <c r="E65" s="316">
        <f>ROUND('B+'!E65/2,2)</f>
        <v>30.21</v>
      </c>
      <c r="F65" s="161"/>
      <c r="G65" s="316">
        <f>ROUND('B+'!G65/2,2)</f>
        <v>30.21</v>
      </c>
      <c r="H65" s="316">
        <f>ROUND('B+'!H65/2,2)</f>
        <v>20.36</v>
      </c>
      <c r="I65" s="316">
        <f>ROUND('B+'!I65/2,2)</f>
        <v>19.88</v>
      </c>
      <c r="J65" s="316">
        <f>ROUND('B+'!J65/2,2)</f>
        <v>19.88</v>
      </c>
      <c r="K65" s="316">
        <f>ROUND('B+'!K65/2,2)</f>
        <v>19.88</v>
      </c>
      <c r="L65" s="316">
        <f>ROUND('B+'!L65/2,2)</f>
        <v>19.88</v>
      </c>
      <c r="M65" s="161"/>
      <c r="N65" s="316">
        <f>ROUND('B+'!O65/2,2)</f>
        <v>19.88</v>
      </c>
      <c r="O65" s="161"/>
      <c r="P65" s="316">
        <f>ROUND('B+'!Q65/2,2)</f>
        <v>27.69</v>
      </c>
      <c r="Q65" s="316">
        <f>ROUND('B+'!R65/2,2)</f>
        <v>26.07</v>
      </c>
      <c r="R65" s="316">
        <f>ROUND('B+'!S65/2,2)</f>
        <v>24.45</v>
      </c>
      <c r="S65" s="316">
        <f>ROUND('B+'!T65/2,2)</f>
        <v>22.83</v>
      </c>
      <c r="T65" s="316">
        <f>ROUND('B+'!U65/2,2)</f>
        <v>22.35</v>
      </c>
      <c r="U65" s="161"/>
      <c r="V65" s="59">
        <f>ROUND('B+'!X65/2,2)</f>
        <v>22.35</v>
      </c>
      <c r="AC65" s="161"/>
    </row>
    <row r="66" spans="1:29" ht="15" thickBot="1">
      <c r="A66" s="364">
        <f t="shared" si="0"/>
        <v>57</v>
      </c>
      <c r="C66" s="316">
        <f>ROUND('B+'!C66/2,2)</f>
        <v>33.21</v>
      </c>
      <c r="D66" s="316">
        <f>ROUND('B+'!D66/2,2)</f>
        <v>30.66</v>
      </c>
      <c r="E66" s="316">
        <f>ROUND('B+'!E66/2,2)</f>
        <v>30.66</v>
      </c>
      <c r="F66" s="161"/>
      <c r="G66" s="316">
        <f>ROUND('B+'!G66/2,2)</f>
        <v>30.66</v>
      </c>
      <c r="H66" s="316">
        <f>ROUND('B+'!H66/2,2)</f>
        <v>20.440000000000001</v>
      </c>
      <c r="I66" s="316">
        <f>ROUND('B+'!I66/2,2)</f>
        <v>19.88</v>
      </c>
      <c r="J66" s="316">
        <f>ROUND('B+'!J66/2,2)</f>
        <v>19.88</v>
      </c>
      <c r="K66" s="316">
        <f>ROUND('B+'!K66/2,2)</f>
        <v>19.88</v>
      </c>
      <c r="L66" s="316">
        <f>ROUND('B+'!L66/2,2)</f>
        <v>19.88</v>
      </c>
      <c r="M66" s="161"/>
      <c r="N66" s="316">
        <f>ROUND('B+'!O66/2,2)</f>
        <v>19.88</v>
      </c>
      <c r="O66" s="161"/>
      <c r="P66" s="316">
        <f>ROUND('B+'!Q66/2,2)</f>
        <v>28.1</v>
      </c>
      <c r="Q66" s="316">
        <f>ROUND('B+'!R66/2,2)</f>
        <v>26.4</v>
      </c>
      <c r="R66" s="316">
        <f>ROUND('B+'!S66/2,2)</f>
        <v>24.7</v>
      </c>
      <c r="S66" s="316">
        <f>ROUND('B+'!T66/2,2)</f>
        <v>22.99</v>
      </c>
      <c r="T66" s="316">
        <f>ROUND('B+'!U66/2,2)</f>
        <v>22.35</v>
      </c>
      <c r="U66" s="161"/>
      <c r="V66" s="59">
        <f>ROUND('B+'!X66/2,2)</f>
        <v>22.35</v>
      </c>
      <c r="AC66" s="161"/>
    </row>
    <row r="67" spans="1:29" ht="15" thickBot="1">
      <c r="A67" s="364">
        <f t="shared" si="0"/>
        <v>58</v>
      </c>
      <c r="C67" s="316">
        <f>ROUND('B+'!C67/2,2)</f>
        <v>33.700000000000003</v>
      </c>
      <c r="D67" s="316">
        <f>ROUND('B+'!D67/2,2)</f>
        <v>31.11</v>
      </c>
      <c r="E67" s="316">
        <f>ROUND('B+'!E67/2,2)</f>
        <v>31.11</v>
      </c>
      <c r="F67" s="161"/>
      <c r="G67" s="316">
        <f>ROUND('B+'!G67/2,2)</f>
        <v>31.11</v>
      </c>
      <c r="H67" s="316">
        <f>ROUND('B+'!H67/2,2)</f>
        <v>20.74</v>
      </c>
      <c r="I67" s="316">
        <f>ROUND('B+'!I67/2,2)</f>
        <v>20.02</v>
      </c>
      <c r="J67" s="316">
        <f>ROUND('B+'!J67/2,2)</f>
        <v>19.88</v>
      </c>
      <c r="K67" s="316">
        <f>ROUND('B+'!K67/2,2)</f>
        <v>19.88</v>
      </c>
      <c r="L67" s="316">
        <f>ROUND('B+'!L67/2,2)</f>
        <v>19.88</v>
      </c>
      <c r="M67" s="161"/>
      <c r="N67" s="316">
        <f>ROUND('B+'!O67/2,2)</f>
        <v>19.88</v>
      </c>
      <c r="O67" s="161"/>
      <c r="P67" s="316">
        <f>ROUND('B+'!Q67/2,2)</f>
        <v>28.52</v>
      </c>
      <c r="Q67" s="316">
        <f>ROUND('B+'!R67/2,2)</f>
        <v>26.73</v>
      </c>
      <c r="R67" s="316">
        <f>ROUND('B+'!S67/2,2)</f>
        <v>24.95</v>
      </c>
      <c r="S67" s="316">
        <f>ROUND('B+'!T67/2,2)</f>
        <v>23.16</v>
      </c>
      <c r="T67" s="316">
        <f>ROUND('B+'!U67/2,2)</f>
        <v>22.35</v>
      </c>
      <c r="U67" s="161"/>
      <c r="V67" s="59">
        <f>ROUND('B+'!X67/2,2)</f>
        <v>22.35</v>
      </c>
      <c r="AC67" s="161"/>
    </row>
    <row r="68" spans="1:29" ht="15" thickBot="1">
      <c r="A68" s="364">
        <f t="shared" si="0"/>
        <v>59</v>
      </c>
      <c r="C68" s="316">
        <f>ROUND('B+'!C68/2,2)</f>
        <v>34.31</v>
      </c>
      <c r="D68" s="316">
        <f>ROUND('B+'!D68/2,2)</f>
        <v>31.67</v>
      </c>
      <c r="E68" s="316">
        <f>ROUND('B+'!E68/2,2)</f>
        <v>31.67</v>
      </c>
      <c r="F68" s="161"/>
      <c r="G68" s="316">
        <f>ROUND('B+'!G68/2,2)</f>
        <v>31.67</v>
      </c>
      <c r="H68" s="316">
        <f>ROUND('B+'!H68/2,2)</f>
        <v>21.12</v>
      </c>
      <c r="I68" s="316">
        <f>ROUND('B+'!I68/2,2)</f>
        <v>20.32</v>
      </c>
      <c r="J68" s="316">
        <f>ROUND('B+'!J68/2,2)</f>
        <v>19.88</v>
      </c>
      <c r="K68" s="316">
        <f>ROUND('B+'!K68/2,2)</f>
        <v>19.88</v>
      </c>
      <c r="L68" s="316">
        <f>ROUND('B+'!L68/2,2)</f>
        <v>19.88</v>
      </c>
      <c r="M68" s="161"/>
      <c r="N68" s="316">
        <f>ROUND('B+'!O68/2,2)</f>
        <v>19.88</v>
      </c>
      <c r="O68" s="161"/>
      <c r="P68" s="316">
        <f>ROUND('B+'!Q68/2,2)</f>
        <v>29.03</v>
      </c>
      <c r="Q68" s="316">
        <f>ROUND('B+'!R68/2,2)</f>
        <v>27.14</v>
      </c>
      <c r="R68" s="316">
        <f>ROUND('B+'!S68/2,2)</f>
        <v>25.25</v>
      </c>
      <c r="S68" s="316">
        <f>ROUND('B+'!T68/2,2)</f>
        <v>23.37</v>
      </c>
      <c r="T68" s="316">
        <f>ROUND('B+'!U68/2,2)</f>
        <v>22.35</v>
      </c>
      <c r="U68" s="161"/>
      <c r="V68" s="59">
        <f>ROUND('B+'!X68/2,2)</f>
        <v>22.35</v>
      </c>
      <c r="AC68" s="161"/>
    </row>
    <row r="69" spans="1:29" ht="15" thickBot="1">
      <c r="A69" s="364">
        <f t="shared" si="0"/>
        <v>60</v>
      </c>
      <c r="C69" s="316">
        <f>ROUND('B+'!C69/2,2)</f>
        <v>34.74</v>
      </c>
      <c r="D69" s="316">
        <f>ROUND('B+'!D69/2,2)</f>
        <v>32.07</v>
      </c>
      <c r="E69" s="316">
        <f>ROUND('B+'!E69/2,2)</f>
        <v>32.07</v>
      </c>
      <c r="F69" s="161"/>
      <c r="G69" s="316">
        <f>ROUND('B+'!G69/2,2)</f>
        <v>32.07</v>
      </c>
      <c r="H69" s="316">
        <f>ROUND('B+'!H69/2,2)</f>
        <v>21.38</v>
      </c>
      <c r="I69" s="316">
        <f>ROUND('B+'!I69/2,2)</f>
        <v>20.53</v>
      </c>
      <c r="J69" s="316">
        <f>ROUND('B+'!J69/2,2)</f>
        <v>19.88</v>
      </c>
      <c r="K69" s="316">
        <f>ROUND('B+'!K69/2,2)</f>
        <v>19.88</v>
      </c>
      <c r="L69" s="316">
        <f>ROUND('B+'!L69/2,2)</f>
        <v>19.88</v>
      </c>
      <c r="M69" s="161"/>
      <c r="N69" s="316">
        <f>ROUND('B+'!O69/2,2)</f>
        <v>19.88</v>
      </c>
      <c r="O69" s="161"/>
      <c r="P69" s="316">
        <f>ROUND('B+'!Q69/2,2)</f>
        <v>29.4</v>
      </c>
      <c r="Q69" s="316">
        <f>ROUND('B+'!R69/2,2)</f>
        <v>27.44</v>
      </c>
      <c r="R69" s="316">
        <f>ROUND('B+'!S69/2,2)</f>
        <v>25.47</v>
      </c>
      <c r="S69" s="316">
        <f>ROUND('B+'!T69/2,2)</f>
        <v>23.51</v>
      </c>
      <c r="T69" s="316">
        <f>ROUND('B+'!U69/2,2)</f>
        <v>22.35</v>
      </c>
      <c r="U69" s="161"/>
      <c r="V69" s="59">
        <f>ROUND('B+'!X69/2,2)</f>
        <v>22.35</v>
      </c>
      <c r="AC69" s="161"/>
    </row>
    <row r="70" spans="1:29" ht="15" thickBot="1">
      <c r="A70" s="364">
        <f t="shared" si="0"/>
        <v>61</v>
      </c>
      <c r="C70" s="316">
        <f>ROUND('B+'!C70/2,2)</f>
        <v>35.17</v>
      </c>
      <c r="D70" s="316">
        <f>ROUND('B+'!D70/2,2)</f>
        <v>32.46</v>
      </c>
      <c r="E70" s="316">
        <f>ROUND('B+'!E70/2,2)</f>
        <v>32.46</v>
      </c>
      <c r="F70" s="161"/>
      <c r="G70" s="316">
        <f>ROUND('B+'!G70/2,2)</f>
        <v>32.46</v>
      </c>
      <c r="H70" s="316">
        <f>ROUND('B+'!H70/2,2)</f>
        <v>21.64</v>
      </c>
      <c r="I70" s="316">
        <f>ROUND('B+'!I70/2,2)</f>
        <v>20.74</v>
      </c>
      <c r="J70" s="316">
        <f>ROUND('B+'!J70/2,2)</f>
        <v>19.88</v>
      </c>
      <c r="K70" s="316">
        <f>ROUND('B+'!K70/2,2)</f>
        <v>19.88</v>
      </c>
      <c r="L70" s="316">
        <f>ROUND('B+'!L70/2,2)</f>
        <v>19.88</v>
      </c>
      <c r="M70" s="161"/>
      <c r="N70" s="316">
        <f>ROUND('B+'!O70/2,2)</f>
        <v>19.88</v>
      </c>
      <c r="O70" s="161"/>
      <c r="P70" s="316">
        <f>ROUND('B+'!Q70/2,2)</f>
        <v>29.76</v>
      </c>
      <c r="Q70" s="316">
        <f>ROUND('B+'!R70/2,2)</f>
        <v>27.72</v>
      </c>
      <c r="R70" s="316">
        <f>ROUND('B+'!S70/2,2)</f>
        <v>25.69</v>
      </c>
      <c r="S70" s="316">
        <f>ROUND('B+'!T70/2,2)</f>
        <v>23.66</v>
      </c>
      <c r="T70" s="316">
        <f>ROUND('B+'!U70/2,2)</f>
        <v>22.35</v>
      </c>
      <c r="U70" s="161"/>
      <c r="V70" s="59">
        <f>ROUND('B+'!X70/2,2)</f>
        <v>22.35</v>
      </c>
      <c r="AC70" s="161"/>
    </row>
    <row r="71" spans="1:29" ht="15" thickBot="1">
      <c r="A71" s="364">
        <f t="shared" si="0"/>
        <v>62</v>
      </c>
      <c r="C71" s="316">
        <f>ROUND('B+'!C71/2,2)</f>
        <v>35.65</v>
      </c>
      <c r="D71" s="316">
        <f>ROUND('B+'!D71/2,2)</f>
        <v>32.909999999999997</v>
      </c>
      <c r="E71" s="316">
        <f>ROUND('B+'!E71/2,2)</f>
        <v>32.909999999999997</v>
      </c>
      <c r="F71" s="161"/>
      <c r="G71" s="316">
        <f>ROUND('B+'!G71/2,2)</f>
        <v>32.909999999999997</v>
      </c>
      <c r="H71" s="316">
        <f>ROUND('B+'!H71/2,2)</f>
        <v>21.94</v>
      </c>
      <c r="I71" s="316">
        <f>ROUND('B+'!I71/2,2)</f>
        <v>20.98</v>
      </c>
      <c r="J71" s="316">
        <f>ROUND('B+'!J71/2,2)</f>
        <v>20.010000000000002</v>
      </c>
      <c r="K71" s="316">
        <f>ROUND('B+'!K71/2,2)</f>
        <v>19.88</v>
      </c>
      <c r="L71" s="316">
        <f>ROUND('B+'!L71/2,2)</f>
        <v>19.88</v>
      </c>
      <c r="M71" s="161"/>
      <c r="N71" s="316">
        <f>ROUND('B+'!O71/2,2)</f>
        <v>19.88</v>
      </c>
      <c r="O71" s="161"/>
      <c r="P71" s="316">
        <f>ROUND('B+'!Q71/2,2)</f>
        <v>30.17</v>
      </c>
      <c r="Q71" s="316">
        <f>ROUND('B+'!R71/2,2)</f>
        <v>28.05</v>
      </c>
      <c r="R71" s="316">
        <f>ROUND('B+'!S71/2,2)</f>
        <v>25.94</v>
      </c>
      <c r="S71" s="316">
        <f>ROUND('B+'!T71/2,2)</f>
        <v>23.82</v>
      </c>
      <c r="T71" s="316">
        <f>ROUND('B+'!U71/2,2)</f>
        <v>22.35</v>
      </c>
      <c r="U71" s="161"/>
      <c r="V71" s="59">
        <f>ROUND('B+'!X71/2,2)</f>
        <v>22.35</v>
      </c>
      <c r="AC71" s="161"/>
    </row>
    <row r="72" spans="1:29" ht="15" thickBot="1">
      <c r="A72" s="364">
        <f t="shared" si="0"/>
        <v>63</v>
      </c>
      <c r="C72" s="316">
        <f>ROUND('B+'!C72/2,2)</f>
        <v>36.14</v>
      </c>
      <c r="D72" s="316">
        <f>ROUND('B+'!D72/2,2)</f>
        <v>33.36</v>
      </c>
      <c r="E72" s="316">
        <f>ROUND('B+'!E72/2,2)</f>
        <v>33.36</v>
      </c>
      <c r="F72" s="161"/>
      <c r="G72" s="316">
        <f>ROUND('B+'!G72/2,2)</f>
        <v>33.36</v>
      </c>
      <c r="H72" s="316">
        <f>ROUND('B+'!H72/2,2)</f>
        <v>22.24</v>
      </c>
      <c r="I72" s="316">
        <f>ROUND('B+'!I72/2,2)</f>
        <v>21.22</v>
      </c>
      <c r="J72" s="316">
        <f>ROUND('B+'!J72/2,2)</f>
        <v>20.190000000000001</v>
      </c>
      <c r="K72" s="316">
        <f>ROUND('B+'!K72/2,2)</f>
        <v>19.88</v>
      </c>
      <c r="L72" s="316">
        <f>ROUND('B+'!L72/2,2)</f>
        <v>19.88</v>
      </c>
      <c r="M72" s="161"/>
      <c r="N72" s="316">
        <f>ROUND('B+'!O72/2,2)</f>
        <v>19.88</v>
      </c>
      <c r="O72" s="161"/>
      <c r="P72" s="316">
        <f>ROUND('B+'!Q72/2,2)</f>
        <v>30.58</v>
      </c>
      <c r="Q72" s="316">
        <f>ROUND('B+'!R72/2,2)</f>
        <v>28.38</v>
      </c>
      <c r="R72" s="316">
        <f>ROUND('B+'!S72/2,2)</f>
        <v>26.18</v>
      </c>
      <c r="S72" s="316">
        <f>ROUND('B+'!T72/2,2)</f>
        <v>23.99</v>
      </c>
      <c r="T72" s="316">
        <f>ROUND('B+'!U72/2,2)</f>
        <v>22.35</v>
      </c>
      <c r="U72" s="161"/>
      <c r="V72" s="59">
        <f>ROUND('B+'!X72/2,2)</f>
        <v>22.35</v>
      </c>
      <c r="AC72" s="161"/>
    </row>
    <row r="73" spans="1:29" ht="15" thickBot="1">
      <c r="A73" s="364">
        <f t="shared" si="0"/>
        <v>64</v>
      </c>
      <c r="C73" s="316">
        <f>ROUND('B+'!C73/2,2)</f>
        <v>36.72</v>
      </c>
      <c r="D73" s="316">
        <f>ROUND('B+'!D73/2,2)</f>
        <v>33.89</v>
      </c>
      <c r="E73" s="316">
        <f>ROUND('B+'!E73/2,2)</f>
        <v>33.89</v>
      </c>
      <c r="F73" s="161"/>
      <c r="G73" s="316">
        <f>ROUND('B+'!G73/2,2)</f>
        <v>33.89</v>
      </c>
      <c r="H73" s="316">
        <f>ROUND('B+'!H73/2,2)</f>
        <v>22.6</v>
      </c>
      <c r="I73" s="316">
        <f>ROUND('B+'!I73/2,2)</f>
        <v>21.5</v>
      </c>
      <c r="J73" s="316">
        <f>ROUND('B+'!J73/2,2)</f>
        <v>20.41</v>
      </c>
      <c r="K73" s="316">
        <f>ROUND('B+'!K73/2,2)</f>
        <v>19.88</v>
      </c>
      <c r="L73" s="316">
        <f>ROUND('B+'!L73/2,2)</f>
        <v>19.88</v>
      </c>
      <c r="M73" s="161"/>
      <c r="N73" s="316">
        <f>ROUND('B+'!O73/2,2)</f>
        <v>19.88</v>
      </c>
      <c r="O73" s="161"/>
      <c r="P73" s="316">
        <f>ROUND('B+'!Q73/2,2)</f>
        <v>31.07</v>
      </c>
      <c r="Q73" s="316">
        <f>ROUND('B+'!R73/2,2)</f>
        <v>28.77</v>
      </c>
      <c r="R73" s="316">
        <f>ROUND('B+'!S73/2,2)</f>
        <v>26.48</v>
      </c>
      <c r="S73" s="316">
        <f>ROUND('B+'!T73/2,2)</f>
        <v>24.18</v>
      </c>
      <c r="T73" s="316">
        <f>ROUND('B+'!U73/2,2)</f>
        <v>22.35</v>
      </c>
      <c r="U73" s="161"/>
      <c r="V73" s="59">
        <f>ROUND('B+'!X73/2,2)</f>
        <v>22.35</v>
      </c>
      <c r="AC73" s="161"/>
    </row>
    <row r="74" spans="1:29" ht="15" thickBot="1">
      <c r="A74" s="364">
        <f t="shared" si="0"/>
        <v>65</v>
      </c>
      <c r="C74" s="316">
        <f>ROUND('B+'!C74/2,2)</f>
        <v>37.17</v>
      </c>
      <c r="D74" s="316">
        <f>ROUND('B+'!D74/2,2)</f>
        <v>34.32</v>
      </c>
      <c r="E74" s="316">
        <f>ROUND('B+'!E74/2,2)</f>
        <v>34.32</v>
      </c>
      <c r="F74" s="161"/>
      <c r="G74" s="316">
        <f>ROUND('B+'!G74/2,2)</f>
        <v>34.32</v>
      </c>
      <c r="H74" s="316">
        <f>ROUND('B+'!H74/2,2)</f>
        <v>22.88</v>
      </c>
      <c r="I74" s="316">
        <f>ROUND('B+'!I74/2,2)</f>
        <v>21.73</v>
      </c>
      <c r="J74" s="316">
        <f>ROUND('B+'!J74/2,2)</f>
        <v>20.57</v>
      </c>
      <c r="K74" s="316">
        <f>ROUND('B+'!K74/2,2)</f>
        <v>19.88</v>
      </c>
      <c r="L74" s="316">
        <f>ROUND('B+'!L74/2,2)</f>
        <v>19.88</v>
      </c>
      <c r="M74" s="161"/>
      <c r="N74" s="316">
        <f>ROUND('B+'!O74/2,2)</f>
        <v>19.88</v>
      </c>
      <c r="O74" s="161"/>
      <c r="P74" s="316">
        <f>ROUND('B+'!Q74/2,2)</f>
        <v>31.46</v>
      </c>
      <c r="Q74" s="316">
        <f>ROUND('B+'!R74/2,2)</f>
        <v>29.08</v>
      </c>
      <c r="R74" s="316">
        <f>ROUND('B+'!S74/2,2)</f>
        <v>26.71</v>
      </c>
      <c r="S74" s="316">
        <f>ROUND('B+'!T74/2,2)</f>
        <v>24.34</v>
      </c>
      <c r="T74" s="316">
        <f>ROUND('B+'!U74/2,2)</f>
        <v>22.35</v>
      </c>
      <c r="U74" s="161"/>
      <c r="V74" s="59">
        <f>ROUND('B+'!X74/2,2)</f>
        <v>22.35</v>
      </c>
      <c r="AC74" s="161"/>
    </row>
    <row r="75" spans="1:29" ht="15" thickBot="1">
      <c r="A75" s="364">
        <f t="shared" si="0"/>
        <v>66</v>
      </c>
      <c r="C75" s="316">
        <f>ROUND('B+'!C75/2,2)</f>
        <v>37.61</v>
      </c>
      <c r="D75" s="316">
        <f>ROUND('B+'!D75/2,2)</f>
        <v>34.72</v>
      </c>
      <c r="E75" s="316">
        <f>ROUND('B+'!E75/2,2)</f>
        <v>34.72</v>
      </c>
      <c r="F75" s="161"/>
      <c r="G75" s="316">
        <f>ROUND('B+'!G75/2,2)</f>
        <v>34.5</v>
      </c>
      <c r="H75" s="316">
        <f>ROUND('B+'!H75/2,2)</f>
        <v>23</v>
      </c>
      <c r="I75" s="316">
        <f>ROUND('B+'!I75/2,2)</f>
        <v>21.82</v>
      </c>
      <c r="J75" s="316">
        <f>ROUND('B+'!J75/2,2)</f>
        <v>20.65</v>
      </c>
      <c r="K75" s="316">
        <f>ROUND('B+'!K75/2,2)</f>
        <v>19.88</v>
      </c>
      <c r="L75" s="316">
        <f>ROUND('B+'!L75/2,2)</f>
        <v>19.88</v>
      </c>
      <c r="M75" s="161"/>
      <c r="N75" s="316">
        <f>ROUND('B+'!O75/2,2)</f>
        <v>19.88</v>
      </c>
      <c r="O75" s="161"/>
      <c r="P75" s="316">
        <f>ROUND('B+'!Q75/2,2)</f>
        <v>31.62</v>
      </c>
      <c r="Q75" s="316">
        <f>ROUND('B+'!R75/2,2)</f>
        <v>29.22</v>
      </c>
      <c r="R75" s="316">
        <f>ROUND('B+'!S75/2,2)</f>
        <v>26.81</v>
      </c>
      <c r="S75" s="316">
        <f>ROUND('B+'!T75/2,2)</f>
        <v>24.4</v>
      </c>
      <c r="T75" s="316">
        <f>ROUND('B+'!U75/2,2)</f>
        <v>22.35</v>
      </c>
      <c r="U75" s="161"/>
      <c r="V75" s="59">
        <f>ROUND('B+'!X75/2,2)</f>
        <v>22.35</v>
      </c>
      <c r="AC75" s="161"/>
    </row>
    <row r="76" spans="1:29" ht="15" thickBot="1">
      <c r="A76" s="364">
        <f t="shared" ref="A76:A83" si="1">A75+1</f>
        <v>67</v>
      </c>
      <c r="C76" s="316">
        <f>ROUND('B+'!C76/2,2)</f>
        <v>38.1</v>
      </c>
      <c r="D76" s="316">
        <f>ROUND('B+'!D76/2,2)</f>
        <v>35.17</v>
      </c>
      <c r="E76" s="316">
        <f>ROUND('B+'!E76/2,2)</f>
        <v>35.17</v>
      </c>
      <c r="F76" s="161"/>
      <c r="G76" s="316">
        <f>ROUND('B+'!G76/2,2)</f>
        <v>34.5</v>
      </c>
      <c r="H76" s="316">
        <f>ROUND('B+'!H76/2,2)</f>
        <v>23</v>
      </c>
      <c r="I76" s="316">
        <f>ROUND('B+'!I76/2,2)</f>
        <v>21.82</v>
      </c>
      <c r="J76" s="316">
        <f>ROUND('B+'!J76/2,2)</f>
        <v>20.65</v>
      </c>
      <c r="K76" s="316">
        <f>ROUND('B+'!K76/2,2)</f>
        <v>19.88</v>
      </c>
      <c r="L76" s="316">
        <f>ROUND('B+'!L76/2,2)</f>
        <v>19.88</v>
      </c>
      <c r="M76" s="161"/>
      <c r="N76" s="316">
        <f>ROUND('B+'!O76/2,2)</f>
        <v>19.88</v>
      </c>
      <c r="O76" s="161"/>
      <c r="P76" s="316">
        <f>ROUND('B+'!Q76/2,2)</f>
        <v>31.62</v>
      </c>
      <c r="Q76" s="316">
        <f>ROUND('B+'!R76/2,2)</f>
        <v>29.22</v>
      </c>
      <c r="R76" s="316">
        <f>ROUND('B+'!S76/2,2)</f>
        <v>26.81</v>
      </c>
      <c r="S76" s="316">
        <f>ROUND('B+'!T76/2,2)</f>
        <v>24.4</v>
      </c>
      <c r="T76" s="316">
        <f>ROUND('B+'!U76/2,2)</f>
        <v>22.35</v>
      </c>
      <c r="U76" s="161"/>
      <c r="V76" s="59">
        <f>ROUND('B+'!X76/2,2)</f>
        <v>22.35</v>
      </c>
      <c r="AC76" s="161"/>
    </row>
    <row r="77" spans="1:29" ht="15" thickBot="1">
      <c r="A77" s="364">
        <f t="shared" si="1"/>
        <v>68</v>
      </c>
      <c r="C77" s="316">
        <f>ROUND('B+'!C77/2,2)</f>
        <v>38.58</v>
      </c>
      <c r="D77" s="316">
        <f>ROUND('B+'!D77/2,2)</f>
        <v>35.619999999999997</v>
      </c>
      <c r="E77" s="316">
        <f>ROUND('B+'!E77/2,2)</f>
        <v>35.619999999999997</v>
      </c>
      <c r="F77" s="161"/>
      <c r="G77" s="316">
        <f>ROUND('B+'!G77/2,2)</f>
        <v>34.5</v>
      </c>
      <c r="H77" s="316">
        <f>ROUND('B+'!H77/2,2)</f>
        <v>23</v>
      </c>
      <c r="I77" s="316">
        <f>ROUND('B+'!I77/2,2)</f>
        <v>21.82</v>
      </c>
      <c r="J77" s="316">
        <f>ROUND('B+'!J77/2,2)</f>
        <v>20.65</v>
      </c>
      <c r="K77" s="316">
        <f>ROUND('B+'!K77/2,2)</f>
        <v>19.88</v>
      </c>
      <c r="L77" s="316">
        <f>ROUND('B+'!L77/2,2)</f>
        <v>19.88</v>
      </c>
      <c r="M77" s="161"/>
      <c r="N77" s="316">
        <f>ROUND('B+'!O77/2,2)</f>
        <v>19.88</v>
      </c>
      <c r="O77" s="161"/>
      <c r="P77" s="316">
        <f>ROUND('B+'!Q77/2,2)</f>
        <v>31.62</v>
      </c>
      <c r="Q77" s="316">
        <f>ROUND('B+'!R77/2,2)</f>
        <v>29.22</v>
      </c>
      <c r="R77" s="316">
        <f>ROUND('B+'!S77/2,2)</f>
        <v>26.81</v>
      </c>
      <c r="S77" s="316">
        <f>ROUND('B+'!T77/2,2)</f>
        <v>24.4</v>
      </c>
      <c r="T77" s="316">
        <f>ROUND('B+'!U77/2,2)</f>
        <v>22.35</v>
      </c>
      <c r="U77" s="161"/>
      <c r="V77" s="59">
        <f>ROUND('B+'!X77/2,2)</f>
        <v>22.35</v>
      </c>
      <c r="AC77" s="161"/>
    </row>
    <row r="78" spans="1:29" ht="15" thickBot="1">
      <c r="A78" s="364">
        <f t="shared" si="1"/>
        <v>69</v>
      </c>
      <c r="C78" s="316">
        <f>ROUND('B+'!C78/2,2)</f>
        <v>39.07</v>
      </c>
      <c r="D78" s="316">
        <f>ROUND('B+'!D78/2,2)</f>
        <v>36.07</v>
      </c>
      <c r="E78" s="316">
        <f>ROUND('B+'!E78/2,2)</f>
        <v>36.07</v>
      </c>
      <c r="F78" s="161"/>
      <c r="G78" s="316">
        <f>ROUND('B+'!G78/2,2)</f>
        <v>34.5</v>
      </c>
      <c r="H78" s="316">
        <f>ROUND('B+'!H78/2,2)</f>
        <v>23</v>
      </c>
      <c r="I78" s="316">
        <f>ROUND('B+'!I78/2,2)</f>
        <v>21.82</v>
      </c>
      <c r="J78" s="316">
        <f>ROUND('B+'!J78/2,2)</f>
        <v>20.65</v>
      </c>
      <c r="K78" s="316">
        <f>ROUND('B+'!K78/2,2)</f>
        <v>19.88</v>
      </c>
      <c r="L78" s="316">
        <f>ROUND('B+'!L78/2,2)</f>
        <v>19.88</v>
      </c>
      <c r="M78" s="161"/>
      <c r="N78" s="316">
        <f>ROUND('B+'!O78/2,2)</f>
        <v>19.88</v>
      </c>
      <c r="O78" s="161"/>
      <c r="P78" s="316">
        <f>ROUND('B+'!Q78/2,2)</f>
        <v>31.62</v>
      </c>
      <c r="Q78" s="316">
        <f>ROUND('B+'!R78/2,2)</f>
        <v>29.22</v>
      </c>
      <c r="R78" s="316">
        <f>ROUND('B+'!S78/2,2)</f>
        <v>26.81</v>
      </c>
      <c r="S78" s="316">
        <f>ROUND('B+'!T78/2,2)</f>
        <v>24.4</v>
      </c>
      <c r="T78" s="316">
        <f>ROUND('B+'!U78/2,2)</f>
        <v>22.35</v>
      </c>
      <c r="U78" s="161"/>
      <c r="V78" s="59">
        <f>ROUND('B+'!X78/2,2)</f>
        <v>22.35</v>
      </c>
      <c r="AC78" s="161"/>
    </row>
    <row r="79" spans="1:29" ht="15" thickBot="1">
      <c r="A79" s="364">
        <f t="shared" si="1"/>
        <v>70</v>
      </c>
      <c r="C79" s="316">
        <f>ROUND('B+'!C79/2,2)</f>
        <v>39.39</v>
      </c>
      <c r="D79" s="316">
        <f>ROUND('B+'!D79/2,2)</f>
        <v>36.36</v>
      </c>
      <c r="E79" s="316">
        <f>ROUND('B+'!E79/2,2)</f>
        <v>36.36</v>
      </c>
      <c r="F79" s="161"/>
      <c r="G79" s="316">
        <f>ROUND('B+'!G79/2,2)</f>
        <v>34.5</v>
      </c>
      <c r="H79" s="316">
        <f>ROUND('B+'!H79/2,2)</f>
        <v>23</v>
      </c>
      <c r="I79" s="316">
        <f>ROUND('B+'!I79/2,2)</f>
        <v>21.82</v>
      </c>
      <c r="J79" s="316">
        <f>ROUND('B+'!J79/2,2)</f>
        <v>20.65</v>
      </c>
      <c r="K79" s="316">
        <f>ROUND('B+'!K79/2,2)</f>
        <v>19.88</v>
      </c>
      <c r="L79" s="316">
        <f>ROUND('B+'!L79/2,2)</f>
        <v>19.88</v>
      </c>
      <c r="M79" s="161"/>
      <c r="N79" s="316">
        <f>ROUND('B+'!O79/2,2)</f>
        <v>19.88</v>
      </c>
      <c r="O79" s="161"/>
      <c r="P79" s="316">
        <f>ROUND('B+'!Q79/2,2)</f>
        <v>31.62</v>
      </c>
      <c r="Q79" s="316">
        <f>ROUND('B+'!R79/2,2)</f>
        <v>29.22</v>
      </c>
      <c r="R79" s="316">
        <f>ROUND('B+'!S79/2,2)</f>
        <v>26.81</v>
      </c>
      <c r="S79" s="316">
        <f>ROUND('B+'!T79/2,2)</f>
        <v>24.4</v>
      </c>
      <c r="T79" s="316">
        <f>ROUND('B+'!U79/2,2)</f>
        <v>22.35</v>
      </c>
      <c r="U79" s="161"/>
      <c r="V79" s="59">
        <f>ROUND('B+'!X79/2,2)</f>
        <v>22.35</v>
      </c>
      <c r="AC79" s="161"/>
    </row>
    <row r="80" spans="1:29" ht="15" thickBot="1">
      <c r="A80" s="364">
        <f t="shared" si="1"/>
        <v>71</v>
      </c>
      <c r="C80" s="316">
        <f>ROUND('B+'!C80/2,2)</f>
        <v>39.64</v>
      </c>
      <c r="D80" s="316">
        <f>ROUND('B+'!D80/2,2)</f>
        <v>36.590000000000003</v>
      </c>
      <c r="E80" s="316">
        <f>ROUND('B+'!E80/2,2)</f>
        <v>36.590000000000003</v>
      </c>
      <c r="F80" s="161"/>
      <c r="G80" s="316">
        <f>ROUND('B+'!G80/2,2)</f>
        <v>34.5</v>
      </c>
      <c r="H80" s="316">
        <f>ROUND('B+'!H80/2,2)</f>
        <v>23</v>
      </c>
      <c r="I80" s="316">
        <f>ROUND('B+'!I80/2,2)</f>
        <v>21.82</v>
      </c>
      <c r="J80" s="316">
        <f>ROUND('B+'!J80/2,2)</f>
        <v>20.65</v>
      </c>
      <c r="K80" s="316">
        <f>ROUND('B+'!K80/2,2)</f>
        <v>19.88</v>
      </c>
      <c r="L80" s="316">
        <f>ROUND('B+'!L80/2,2)</f>
        <v>19.88</v>
      </c>
      <c r="M80" s="161"/>
      <c r="N80" s="316">
        <f>ROUND('B+'!O80/2,2)</f>
        <v>19.88</v>
      </c>
      <c r="O80" s="161"/>
      <c r="P80" s="316">
        <f>ROUND('B+'!Q80/2,2)</f>
        <v>31.62</v>
      </c>
      <c r="Q80" s="316">
        <f>ROUND('B+'!R80/2,2)</f>
        <v>29.22</v>
      </c>
      <c r="R80" s="316">
        <f>ROUND('B+'!S80/2,2)</f>
        <v>26.81</v>
      </c>
      <c r="S80" s="316">
        <f>ROUND('B+'!T80/2,2)</f>
        <v>24.4</v>
      </c>
      <c r="T80" s="316">
        <f>ROUND('B+'!U80/2,2)</f>
        <v>22.35</v>
      </c>
      <c r="U80" s="161"/>
      <c r="V80" s="59">
        <f>ROUND('B+'!X80/2,2)</f>
        <v>22.35</v>
      </c>
      <c r="AC80" s="161"/>
    </row>
    <row r="81" spans="1:29" ht="15" thickBot="1">
      <c r="A81" s="364">
        <f t="shared" si="1"/>
        <v>72</v>
      </c>
      <c r="C81" s="316">
        <f>ROUND('B+'!C81/2,2)</f>
        <v>39.89</v>
      </c>
      <c r="D81" s="316">
        <f>ROUND('B+'!D81/2,2)</f>
        <v>36.82</v>
      </c>
      <c r="E81" s="316">
        <f>ROUND('B+'!E81/2,2)</f>
        <v>36.82</v>
      </c>
      <c r="F81" s="161"/>
      <c r="G81" s="316">
        <f>ROUND('B+'!G81/2,2)</f>
        <v>34.5</v>
      </c>
      <c r="H81" s="316">
        <f>ROUND('B+'!H81/2,2)</f>
        <v>23</v>
      </c>
      <c r="I81" s="316">
        <f>ROUND('B+'!I81/2,2)</f>
        <v>21.82</v>
      </c>
      <c r="J81" s="316">
        <f>ROUND('B+'!J81/2,2)</f>
        <v>20.65</v>
      </c>
      <c r="K81" s="316">
        <f>ROUND('B+'!K81/2,2)</f>
        <v>19.88</v>
      </c>
      <c r="L81" s="316">
        <f>ROUND('B+'!L81/2,2)</f>
        <v>19.88</v>
      </c>
      <c r="M81" s="161"/>
      <c r="N81" s="316">
        <f>ROUND('B+'!O81/2,2)</f>
        <v>19.88</v>
      </c>
      <c r="O81" s="161"/>
      <c r="P81" s="316">
        <f>ROUND('B+'!Q81/2,2)</f>
        <v>31.62</v>
      </c>
      <c r="Q81" s="316">
        <f>ROUND('B+'!R81/2,2)</f>
        <v>29.22</v>
      </c>
      <c r="R81" s="316">
        <f>ROUND('B+'!S81/2,2)</f>
        <v>26.81</v>
      </c>
      <c r="S81" s="316">
        <f>ROUND('B+'!T81/2,2)</f>
        <v>24.4</v>
      </c>
      <c r="T81" s="316">
        <f>ROUND('B+'!U81/2,2)</f>
        <v>22.35</v>
      </c>
      <c r="U81" s="161"/>
      <c r="V81" s="59">
        <f>ROUND('B+'!X81/2,2)</f>
        <v>22.35</v>
      </c>
      <c r="AC81" s="161"/>
    </row>
    <row r="82" spans="1:29" ht="15" thickBot="1">
      <c r="A82" s="364">
        <f t="shared" si="1"/>
        <v>73</v>
      </c>
      <c r="C82" s="316">
        <f>ROUND('B+'!C82/2,2)</f>
        <v>40.44</v>
      </c>
      <c r="D82" s="316">
        <f>ROUND('B+'!D82/2,2)</f>
        <v>37.33</v>
      </c>
      <c r="E82" s="316">
        <f>ROUND('B+'!E82/2,2)</f>
        <v>36.909999999999997</v>
      </c>
      <c r="F82" s="161"/>
      <c r="G82" s="316">
        <f>ROUND('B+'!G82/2,2)</f>
        <v>34.5</v>
      </c>
      <c r="H82" s="316">
        <f>ROUND('B+'!H82/2,2)</f>
        <v>23</v>
      </c>
      <c r="I82" s="316">
        <f>ROUND('B+'!I82/2,2)</f>
        <v>21.82</v>
      </c>
      <c r="J82" s="316">
        <f>ROUND('B+'!J82/2,2)</f>
        <v>20.65</v>
      </c>
      <c r="K82" s="316">
        <f>ROUND('B+'!K82/2,2)</f>
        <v>19.88</v>
      </c>
      <c r="L82" s="316">
        <f>ROUND('B+'!L82/2,2)</f>
        <v>19.88</v>
      </c>
      <c r="M82" s="161"/>
      <c r="N82" s="316">
        <f>ROUND('B+'!O82/2,2)</f>
        <v>19.88</v>
      </c>
      <c r="O82" s="161"/>
      <c r="P82" s="316">
        <f>ROUND('B+'!Q82/2,2)</f>
        <v>31.62</v>
      </c>
      <c r="Q82" s="316">
        <f>ROUND('B+'!R82/2,2)</f>
        <v>29.22</v>
      </c>
      <c r="R82" s="316">
        <f>ROUND('B+'!S82/2,2)</f>
        <v>26.81</v>
      </c>
      <c r="S82" s="316">
        <f>ROUND('B+'!T82/2,2)</f>
        <v>24.4</v>
      </c>
      <c r="T82" s="316">
        <f>ROUND('B+'!U82/2,2)</f>
        <v>22.35</v>
      </c>
      <c r="U82" s="161"/>
      <c r="V82" s="59">
        <f>ROUND('B+'!X82/2,2)</f>
        <v>22.35</v>
      </c>
      <c r="AC82" s="161"/>
    </row>
    <row r="83" spans="1:29" ht="15" thickBot="1">
      <c r="A83" s="364">
        <f t="shared" si="1"/>
        <v>74</v>
      </c>
      <c r="C83" s="316">
        <f>ROUND('B+'!C83/2,2)</f>
        <v>40.68</v>
      </c>
      <c r="D83" s="316">
        <f>ROUND('B+'!D83/2,2)</f>
        <v>37.549999999999997</v>
      </c>
      <c r="E83" s="316">
        <f>ROUND('B+'!E83/2,2)</f>
        <v>36.909999999999997</v>
      </c>
      <c r="F83" s="161"/>
      <c r="G83" s="316">
        <f>ROUND('B+'!G83/2,2)</f>
        <v>34.5</v>
      </c>
      <c r="H83" s="316">
        <f>ROUND('B+'!H83/2,2)</f>
        <v>23</v>
      </c>
      <c r="I83" s="316">
        <f>ROUND('B+'!I83/2,2)</f>
        <v>21.82</v>
      </c>
      <c r="J83" s="316">
        <f>ROUND('B+'!J83/2,2)</f>
        <v>20.65</v>
      </c>
      <c r="K83" s="316">
        <f>ROUND('B+'!K83/2,2)</f>
        <v>19.88</v>
      </c>
      <c r="L83" s="316">
        <f>ROUND('B+'!L83/2,2)</f>
        <v>19.88</v>
      </c>
      <c r="M83" s="161"/>
      <c r="N83" s="316">
        <f>ROUND('B+'!O83/2,2)</f>
        <v>19.88</v>
      </c>
      <c r="O83" s="161"/>
      <c r="P83" s="316">
        <f>ROUND('B+'!Q83/2,2)</f>
        <v>31.62</v>
      </c>
      <c r="Q83" s="316">
        <f>ROUND('B+'!R83/2,2)</f>
        <v>29.22</v>
      </c>
      <c r="R83" s="316">
        <f>ROUND('B+'!S83/2,2)</f>
        <v>26.81</v>
      </c>
      <c r="S83" s="316">
        <f>ROUND('B+'!T83/2,2)</f>
        <v>24.4</v>
      </c>
      <c r="T83" s="316">
        <f>ROUND('B+'!U83/2,2)</f>
        <v>22.35</v>
      </c>
      <c r="U83" s="161"/>
      <c r="V83" s="59">
        <f>ROUND('B+'!X83/2,2)</f>
        <v>22.35</v>
      </c>
      <c r="AC83" s="161"/>
    </row>
    <row r="84" spans="1:29" ht="15" thickBot="1">
      <c r="A84" s="364">
        <f>A83+1</f>
        <v>75</v>
      </c>
      <c r="C84" s="316">
        <f>ROUND('B+'!C84/2,2)</f>
        <v>41.19</v>
      </c>
      <c r="D84" s="316">
        <f>ROUND('B+'!D84/2,2)</f>
        <v>38.020000000000003</v>
      </c>
      <c r="E84" s="316">
        <f>ROUND('B+'!E84/2,2)</f>
        <v>36.909999999999997</v>
      </c>
      <c r="F84" s="161"/>
      <c r="G84" s="316">
        <f>ROUND('B+'!G84/2,2)</f>
        <v>34.5</v>
      </c>
      <c r="H84" s="316">
        <f>ROUND('B+'!H84/2,2)</f>
        <v>23</v>
      </c>
      <c r="I84" s="316">
        <f>ROUND('B+'!I84/2,2)</f>
        <v>21.82</v>
      </c>
      <c r="J84" s="316">
        <f>ROUND('B+'!J84/2,2)</f>
        <v>20.65</v>
      </c>
      <c r="K84" s="316">
        <f>ROUND('B+'!K84/2,2)</f>
        <v>19.88</v>
      </c>
      <c r="L84" s="316">
        <f>ROUND('B+'!L84/2,2)</f>
        <v>19.88</v>
      </c>
      <c r="M84" s="161"/>
      <c r="N84" s="316">
        <f>ROUND('B+'!O84/2,2)</f>
        <v>19.88</v>
      </c>
      <c r="O84" s="161"/>
      <c r="P84" s="316">
        <f>ROUND('B+'!Q84/2,2)</f>
        <v>31.62</v>
      </c>
      <c r="Q84" s="316">
        <f>ROUND('B+'!R84/2,2)</f>
        <v>29.22</v>
      </c>
      <c r="R84" s="316">
        <f>ROUND('B+'!S84/2,2)</f>
        <v>26.81</v>
      </c>
      <c r="S84" s="316">
        <f>ROUND('B+'!T84/2,2)</f>
        <v>24.4</v>
      </c>
      <c r="T84" s="316">
        <f>ROUND('B+'!U84/2,2)</f>
        <v>22.35</v>
      </c>
      <c r="U84" s="161"/>
      <c r="V84" s="59">
        <f>ROUND('B+'!X84/2,2)</f>
        <v>22.35</v>
      </c>
      <c r="AC84" s="161"/>
    </row>
    <row r="85" spans="1:29" ht="15" thickBot="1">
      <c r="A85" s="364">
        <f>A84+1</f>
        <v>76</v>
      </c>
      <c r="C85" s="316">
        <f>ROUND('B+'!C85/2,2)</f>
        <v>41.52</v>
      </c>
      <c r="D85" s="316">
        <f>ROUND('B+'!D85/2,2)</f>
        <v>38.33</v>
      </c>
      <c r="E85" s="316">
        <f>ROUND('B+'!E85/2,2)</f>
        <v>36.909999999999997</v>
      </c>
      <c r="F85" s="161"/>
      <c r="G85" s="316">
        <f>ROUND('B+'!G85/2,2)</f>
        <v>34.5</v>
      </c>
      <c r="H85" s="316">
        <f>ROUND('B+'!H85/2,2)</f>
        <v>23</v>
      </c>
      <c r="I85" s="316">
        <f>ROUND('B+'!I85/2,2)</f>
        <v>21.82</v>
      </c>
      <c r="J85" s="316">
        <f>ROUND('B+'!J85/2,2)</f>
        <v>20.65</v>
      </c>
      <c r="K85" s="316">
        <f>ROUND('B+'!K85/2,2)</f>
        <v>19.88</v>
      </c>
      <c r="L85" s="316">
        <f>ROUND('B+'!L85/2,2)</f>
        <v>19.88</v>
      </c>
      <c r="M85" s="161"/>
      <c r="N85" s="316">
        <f>ROUND('B+'!O85/2,2)</f>
        <v>19.88</v>
      </c>
      <c r="O85" s="161"/>
      <c r="P85" s="316">
        <f>ROUND('B+'!Q85/2,2)</f>
        <v>31.62</v>
      </c>
      <c r="Q85" s="316">
        <f>ROUND('B+'!R85/2,2)</f>
        <v>29.22</v>
      </c>
      <c r="R85" s="316">
        <f>ROUND('B+'!S85/2,2)</f>
        <v>26.81</v>
      </c>
      <c r="S85" s="316">
        <f>ROUND('B+'!T85/2,2)</f>
        <v>24.4</v>
      </c>
      <c r="T85" s="316">
        <f>ROUND('B+'!U85/2,2)</f>
        <v>22.35</v>
      </c>
      <c r="U85" s="161"/>
      <c r="V85" s="59">
        <f>ROUND('B+'!X85/2,2)</f>
        <v>22.35</v>
      </c>
    </row>
    <row r="86" spans="1:29" ht="15" thickBot="1">
      <c r="A86" s="364">
        <f>A85+1</f>
        <v>77</v>
      </c>
      <c r="C86" s="316">
        <f>ROUND('B+'!C86/2,2)</f>
        <v>41.98</v>
      </c>
      <c r="D86" s="316">
        <f>ROUND('B+'!D86/2,2)</f>
        <v>38.75</v>
      </c>
      <c r="E86" s="316">
        <f>ROUND('B+'!E86/2,2)</f>
        <v>36.909999999999997</v>
      </c>
      <c r="F86" s="161"/>
      <c r="G86" s="316">
        <f>ROUND('B+'!G86/2,2)</f>
        <v>34.5</v>
      </c>
      <c r="H86" s="316">
        <f>ROUND('B+'!H86/2,2)</f>
        <v>23</v>
      </c>
      <c r="I86" s="316">
        <f>ROUND('B+'!I86/2,2)</f>
        <v>21.82</v>
      </c>
      <c r="J86" s="316">
        <f>ROUND('B+'!J86/2,2)</f>
        <v>20.65</v>
      </c>
      <c r="K86" s="316">
        <f>ROUND('B+'!K86/2,2)</f>
        <v>19.88</v>
      </c>
      <c r="L86" s="316">
        <f>ROUND('B+'!L86/2,2)</f>
        <v>19.88</v>
      </c>
      <c r="M86" s="161"/>
      <c r="N86" s="316">
        <f>ROUND('B+'!O86/2,2)</f>
        <v>19.88</v>
      </c>
      <c r="O86" s="161"/>
      <c r="P86" s="316">
        <f>ROUND('B+'!Q86/2,2)</f>
        <v>31.62</v>
      </c>
      <c r="Q86" s="316">
        <f>ROUND('B+'!R86/2,2)</f>
        <v>29.22</v>
      </c>
      <c r="R86" s="316">
        <f>ROUND('B+'!S86/2,2)</f>
        <v>26.81</v>
      </c>
      <c r="S86" s="316">
        <f>ROUND('B+'!T86/2,2)</f>
        <v>24.4</v>
      </c>
      <c r="T86" s="316">
        <f>ROUND('B+'!U86/2,2)</f>
        <v>22.35</v>
      </c>
      <c r="U86" s="161"/>
      <c r="V86" s="59">
        <f>ROUND('B+'!X86/2,2)</f>
        <v>22.35</v>
      </c>
    </row>
    <row r="87" spans="1:29" ht="15" thickBot="1">
      <c r="A87" s="364">
        <f>A86+1</f>
        <v>78</v>
      </c>
      <c r="B87" s="486"/>
      <c r="C87" s="316">
        <f>ROUND('B+'!C87/2,2)</f>
        <v>42.44</v>
      </c>
      <c r="D87" s="316">
        <f>ROUND('B+'!D87/2,2)</f>
        <v>39.18</v>
      </c>
      <c r="E87" s="316">
        <f>ROUND('B+'!E87/2,2)</f>
        <v>36.909999999999997</v>
      </c>
      <c r="F87" s="485"/>
      <c r="G87" s="316">
        <f>ROUND('B+'!G87/2,2)</f>
        <v>34.5</v>
      </c>
      <c r="H87" s="316">
        <f>ROUND('B+'!H87/2,2)</f>
        <v>23</v>
      </c>
      <c r="I87" s="316">
        <f>ROUND('B+'!I87/2,2)</f>
        <v>21.82</v>
      </c>
      <c r="J87" s="316">
        <f>ROUND('B+'!J87/2,2)</f>
        <v>20.65</v>
      </c>
      <c r="K87" s="316">
        <f>ROUND('B+'!K87/2,2)</f>
        <v>19.88</v>
      </c>
      <c r="L87" s="316">
        <f>ROUND('B+'!L87/2,2)</f>
        <v>19.88</v>
      </c>
      <c r="M87" s="485"/>
      <c r="N87" s="316">
        <f>ROUND('B+'!O87/2,2)</f>
        <v>19.88</v>
      </c>
      <c r="O87" s="485"/>
      <c r="P87" s="316">
        <f>ROUND('B+'!Q87/2,2)</f>
        <v>31.62</v>
      </c>
      <c r="Q87" s="316">
        <f>ROUND('B+'!R87/2,2)</f>
        <v>29.22</v>
      </c>
      <c r="R87" s="316">
        <f>ROUND('B+'!S87/2,2)</f>
        <v>26.81</v>
      </c>
      <c r="S87" s="316">
        <f>ROUND('B+'!T87/2,2)</f>
        <v>24.4</v>
      </c>
      <c r="T87" s="316">
        <f>ROUND('B+'!U87/2,2)</f>
        <v>22.35</v>
      </c>
      <c r="U87" s="485"/>
      <c r="V87" s="59">
        <f>ROUND('B+'!X87/2,2)</f>
        <v>22.35</v>
      </c>
    </row>
    <row r="88" spans="1:29" ht="15" thickBot="1">
      <c r="A88" s="364">
        <f>A87+1</f>
        <v>79</v>
      </c>
      <c r="B88" s="512"/>
      <c r="C88" s="316">
        <f>ROUND('B+'!C88/2,2)</f>
        <v>42.91</v>
      </c>
      <c r="D88" s="316">
        <f>ROUND('B+'!D88/2,2)</f>
        <v>39.61</v>
      </c>
      <c r="E88" s="316">
        <f>ROUND('B+'!E88/2,2)</f>
        <v>36.909999999999997</v>
      </c>
      <c r="F88" s="511"/>
      <c r="G88" s="316">
        <f>ROUND('B+'!G88/2,2)</f>
        <v>34.5</v>
      </c>
      <c r="H88" s="316">
        <f>ROUND('B+'!H88/2,2)</f>
        <v>23</v>
      </c>
      <c r="I88" s="316">
        <f>ROUND('B+'!I88/2,2)</f>
        <v>21.82</v>
      </c>
      <c r="J88" s="316">
        <f>ROUND('B+'!J88/2,2)</f>
        <v>20.65</v>
      </c>
      <c r="K88" s="316">
        <f>ROUND('B+'!K88/2,2)</f>
        <v>19.88</v>
      </c>
      <c r="L88" s="316">
        <f>ROUND('B+'!L88/2,2)</f>
        <v>19.88</v>
      </c>
      <c r="M88" s="511"/>
      <c r="N88" s="316">
        <f>ROUND('B+'!O88/2,2)</f>
        <v>19.88</v>
      </c>
      <c r="O88" s="511"/>
      <c r="P88" s="316">
        <f>ROUND('B+'!Q88/2,2)</f>
        <v>31.62</v>
      </c>
      <c r="Q88" s="316">
        <f>ROUND('B+'!R88/2,2)</f>
        <v>29.22</v>
      </c>
      <c r="R88" s="316">
        <f>ROUND('B+'!S88/2,2)</f>
        <v>26.81</v>
      </c>
      <c r="S88" s="316">
        <f>ROUND('B+'!T88/2,2)</f>
        <v>24.4</v>
      </c>
      <c r="T88" s="316">
        <f>ROUND('B+'!U88/2,2)</f>
        <v>22.35</v>
      </c>
      <c r="U88" s="511"/>
      <c r="V88" s="59">
        <f>ROUND('B+'!X88/2,2)</f>
        <v>22.35</v>
      </c>
    </row>
  </sheetData>
  <sheetProtection algorithmName="SHA-512" hashValue="8TABLRfeAnhQk5JPhhF9MHqGX2joRztnwQYv4/hsPWzLDwpDdYO3LbYhMvcCYQrF6W1NlovrHDtTfLQC3n+h/g==" saltValue="FVwLaCIBqjecp4Cg8Fs/gQ==" spinCount="100000" sheet="1" objects="1" scenarios="1"/>
  <mergeCells count="9">
    <mergeCell ref="AA1:AB1"/>
    <mergeCell ref="C4:E4"/>
    <mergeCell ref="H4:L4"/>
    <mergeCell ref="P4:T4"/>
    <mergeCell ref="C3:E3"/>
    <mergeCell ref="H3:L3"/>
    <mergeCell ref="P3:T3"/>
    <mergeCell ref="C1:R1"/>
    <mergeCell ref="C2:R2"/>
  </mergeCells>
  <conditionalFormatting sqref="C10:E88 G10:L88 N10:N88 P10:T88">
    <cfRule type="expression" dxfId="8" priority="5">
      <formula>MOD(INDIRECT(ADDRESS(ROW(),1)),5)=0</formula>
    </cfRule>
  </conditionalFormatting>
  <conditionalFormatting sqref="V9:V88">
    <cfRule type="expression" dxfId="7" priority="1">
      <formula>MOD(INDIRECT(ADDRESS(ROW(),1)),5)=0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&amp;LRijksdienst voor Arbeidsvoorziening&amp;ROffice national de l'Emploi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18"/>
  <sheetViews>
    <sheetView showGridLines="0" zoomScaleNormal="100" workbookViewId="0">
      <pane ySplit="2" topLeftCell="A3" activePane="bottomLeft" state="frozen"/>
      <selection activeCell="A2" sqref="A2"/>
      <selection pane="bottomLeft" activeCell="A2" sqref="A2"/>
    </sheetView>
  </sheetViews>
  <sheetFormatPr defaultColWidth="9.109375" defaultRowHeight="14.4"/>
  <cols>
    <col min="1" max="1" width="16.33203125" customWidth="1"/>
    <col min="2" max="11" width="13.44140625" customWidth="1"/>
  </cols>
  <sheetData>
    <row r="1" spans="1:21" ht="15" customHeight="1">
      <c r="A1" s="405" t="s">
        <v>33</v>
      </c>
      <c r="C1" s="111" t="s">
        <v>268</v>
      </c>
      <c r="D1" s="111"/>
      <c r="E1" s="111"/>
      <c r="F1" s="111"/>
      <c r="G1" s="111"/>
      <c r="H1" s="111"/>
      <c r="I1" s="599" t="s">
        <v>34</v>
      </c>
      <c r="J1" s="599"/>
      <c r="K1" s="497">
        <f>Basisbedragen!$H$2</f>
        <v>1.7410000000000001</v>
      </c>
      <c r="L1" s="111"/>
      <c r="M1" s="111"/>
      <c r="N1" s="111"/>
      <c r="O1" s="111"/>
      <c r="P1" s="111"/>
      <c r="Q1" s="111"/>
      <c r="T1" s="81"/>
    </row>
    <row r="2" spans="1:21" ht="15.6">
      <c r="A2" s="491">
        <v>45689</v>
      </c>
      <c r="C2" s="111" t="s">
        <v>269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45"/>
      <c r="T2" s="45"/>
      <c r="U2" s="45"/>
    </row>
    <row r="3" spans="1:21" ht="15.6">
      <c r="A3" s="406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5"/>
      <c r="T3" s="45"/>
      <c r="U3" s="45"/>
    </row>
    <row r="4" spans="1:21" ht="15.6">
      <c r="A4" s="406" t="s">
        <v>277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5"/>
      <c r="T4" s="45"/>
      <c r="U4" s="45"/>
    </row>
    <row r="5" spans="1:21" ht="16.2" thickBot="1">
      <c r="A5" s="406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5"/>
      <c r="T5" s="45"/>
      <c r="U5" s="45"/>
    </row>
    <row r="6" spans="1:21" ht="16.2" thickBot="1">
      <c r="A6" s="406"/>
      <c r="B6" s="350">
        <v>11</v>
      </c>
      <c r="C6" s="350">
        <v>12</v>
      </c>
      <c r="D6" s="350">
        <v>13</v>
      </c>
      <c r="E6" s="350" t="s">
        <v>270</v>
      </c>
      <c r="F6" s="350" t="s">
        <v>271</v>
      </c>
      <c r="G6" s="350">
        <v>21</v>
      </c>
      <c r="H6" s="350">
        <v>22</v>
      </c>
      <c r="I6" s="350">
        <v>23</v>
      </c>
      <c r="J6" s="350">
        <v>24</v>
      </c>
      <c r="K6" s="350" t="s">
        <v>272</v>
      </c>
      <c r="L6" s="404"/>
      <c r="M6" s="404"/>
      <c r="N6" s="404"/>
      <c r="O6" s="404"/>
      <c r="P6" s="404"/>
      <c r="Q6" s="404"/>
      <c r="R6" s="404"/>
      <c r="S6" s="45"/>
      <c r="T6" s="45"/>
      <c r="U6" s="45"/>
    </row>
    <row r="7" spans="1:21" ht="15" thickBot="1"/>
    <row r="8" spans="1:21" ht="15" thickBot="1">
      <c r="A8" s="612" t="s">
        <v>278</v>
      </c>
      <c r="B8" s="613"/>
      <c r="C8" s="613"/>
      <c r="D8" s="613"/>
      <c r="E8" s="613"/>
      <c r="F8" s="613"/>
      <c r="G8" s="613"/>
      <c r="H8" s="613"/>
      <c r="I8" s="613"/>
      <c r="J8" s="613"/>
      <c r="K8" s="614"/>
    </row>
    <row r="9" spans="1:21">
      <c r="A9" s="343" t="s">
        <v>273</v>
      </c>
      <c r="B9" s="251">
        <f>A!C8</f>
        <v>68.23</v>
      </c>
      <c r="C9" s="251">
        <f>A!D8</f>
        <v>68.23</v>
      </c>
      <c r="D9" s="251">
        <f>A!E8</f>
        <v>68.23</v>
      </c>
      <c r="E9" s="251">
        <f>A!G8</f>
        <v>68.23</v>
      </c>
      <c r="F9" s="251">
        <f>A!G8</f>
        <v>68.23</v>
      </c>
      <c r="G9" s="251">
        <f>A!H8</f>
        <v>68.23</v>
      </c>
      <c r="H9" s="251">
        <f>A!I8</f>
        <v>68.23</v>
      </c>
      <c r="I9" s="251">
        <f>A!J8</f>
        <v>68.23</v>
      </c>
      <c r="J9" s="251">
        <f>A!K8</f>
        <v>68.23</v>
      </c>
      <c r="K9" s="251">
        <f>A!N9</f>
        <v>68.23</v>
      </c>
    </row>
    <row r="10" spans="1:21">
      <c r="A10" s="344" t="s">
        <v>275</v>
      </c>
      <c r="B10" s="345">
        <f>B9*26</f>
        <v>1773.98</v>
      </c>
      <c r="C10" s="345">
        <f t="shared" ref="C10:K10" si="0">C9*26</f>
        <v>1773.98</v>
      </c>
      <c r="D10" s="345">
        <f t="shared" si="0"/>
        <v>1773.98</v>
      </c>
      <c r="E10" s="345">
        <f t="shared" si="0"/>
        <v>1773.98</v>
      </c>
      <c r="F10" s="345">
        <f t="shared" si="0"/>
        <v>1773.98</v>
      </c>
      <c r="G10" s="345">
        <f t="shared" si="0"/>
        <v>1773.98</v>
      </c>
      <c r="H10" s="345">
        <f t="shared" si="0"/>
        <v>1773.98</v>
      </c>
      <c r="I10" s="345">
        <f t="shared" si="0"/>
        <v>1773.98</v>
      </c>
      <c r="J10" s="345">
        <f t="shared" si="0"/>
        <v>1773.98</v>
      </c>
      <c r="K10" s="345">
        <f t="shared" si="0"/>
        <v>1773.98</v>
      </c>
    </row>
    <row r="11" spans="1:21">
      <c r="A11" s="346" t="s">
        <v>274</v>
      </c>
      <c r="B11" s="347">
        <f>MAX(A!C:C)</f>
        <v>85.81</v>
      </c>
      <c r="C11" s="347">
        <f>MAX(A!D:D)</f>
        <v>79.209999999999994</v>
      </c>
      <c r="D11" s="347">
        <f>MAX(A!E:E)</f>
        <v>73.819999999999993</v>
      </c>
      <c r="E11" s="347">
        <f>MAX(A!G:G)</f>
        <v>68.989999999999995</v>
      </c>
      <c r="F11" s="347">
        <f>MAX(A!G:G)</f>
        <v>68.989999999999995</v>
      </c>
      <c r="G11" s="347">
        <f>MAX(A!H:H)</f>
        <v>68.23</v>
      </c>
      <c r="H11" s="347">
        <f>MAX(A!I:I)</f>
        <v>68.23</v>
      </c>
      <c r="I11" s="347">
        <f>MAX(A!J:J)</f>
        <v>68.23</v>
      </c>
      <c r="J11" s="347">
        <f>MAX(A!K:K)</f>
        <v>68.23</v>
      </c>
      <c r="K11" s="347">
        <f>MAX(A!N:N)</f>
        <v>68.23</v>
      </c>
    </row>
    <row r="12" spans="1:21" ht="15" thickBot="1">
      <c r="A12" s="348" t="s">
        <v>276</v>
      </c>
      <c r="B12" s="349">
        <f>B11*26</f>
        <v>2231.06</v>
      </c>
      <c r="C12" s="349">
        <f t="shared" ref="C12:K12" si="1">C11*26</f>
        <v>2059.46</v>
      </c>
      <c r="D12" s="349">
        <f t="shared" si="1"/>
        <v>1919.3199999999997</v>
      </c>
      <c r="E12" s="349">
        <f t="shared" si="1"/>
        <v>1793.7399999999998</v>
      </c>
      <c r="F12" s="349">
        <f t="shared" si="1"/>
        <v>1793.7399999999998</v>
      </c>
      <c r="G12" s="349">
        <f t="shared" si="1"/>
        <v>1773.98</v>
      </c>
      <c r="H12" s="349">
        <f t="shared" si="1"/>
        <v>1773.98</v>
      </c>
      <c r="I12" s="349">
        <f t="shared" si="1"/>
        <v>1773.98</v>
      </c>
      <c r="J12" s="349">
        <f t="shared" si="1"/>
        <v>1773.98</v>
      </c>
      <c r="K12" s="349">
        <f t="shared" si="1"/>
        <v>1773.98</v>
      </c>
    </row>
    <row r="13" spans="1:21" ht="3.75" customHeight="1" thickBo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21" ht="15" thickBot="1">
      <c r="A14" s="612" t="s">
        <v>279</v>
      </c>
      <c r="B14" s="613"/>
      <c r="C14" s="613"/>
      <c r="D14" s="613"/>
      <c r="E14" s="613"/>
      <c r="F14" s="613"/>
      <c r="G14" s="613"/>
      <c r="H14" s="613"/>
      <c r="I14" s="613"/>
      <c r="J14" s="613"/>
      <c r="K14" s="614"/>
    </row>
    <row r="15" spans="1:21">
      <c r="A15" s="343" t="s">
        <v>273</v>
      </c>
      <c r="B15" s="251">
        <f>N!C8</f>
        <v>55.29</v>
      </c>
      <c r="C15" s="251">
        <f>N!D8</f>
        <v>55.29</v>
      </c>
      <c r="D15" s="251">
        <f>N!E8</f>
        <v>55.29</v>
      </c>
      <c r="E15" s="251">
        <f>N!H8</f>
        <v>55.29</v>
      </c>
      <c r="F15" s="251">
        <f>N!H8</f>
        <v>55.29</v>
      </c>
      <c r="G15" s="251">
        <f>N!I8</f>
        <v>55.29</v>
      </c>
      <c r="H15" s="251">
        <f>N!J8</f>
        <v>55.29</v>
      </c>
      <c r="I15" s="251">
        <f>N!K8</f>
        <v>55.29</v>
      </c>
      <c r="J15" s="251">
        <f>N!L8</f>
        <v>55.29</v>
      </c>
      <c r="K15" s="251">
        <f>N!O9</f>
        <v>55.29</v>
      </c>
    </row>
    <row r="16" spans="1:21">
      <c r="A16" s="344" t="s">
        <v>275</v>
      </c>
      <c r="B16" s="345">
        <f>B15*26</f>
        <v>1437.54</v>
      </c>
      <c r="C16" s="345">
        <f t="shared" ref="C16:K16" si="2">C15*26</f>
        <v>1437.54</v>
      </c>
      <c r="D16" s="345">
        <f t="shared" si="2"/>
        <v>1437.54</v>
      </c>
      <c r="E16" s="345">
        <f t="shared" si="2"/>
        <v>1437.54</v>
      </c>
      <c r="F16" s="345">
        <f t="shared" si="2"/>
        <v>1437.54</v>
      </c>
      <c r="G16" s="345">
        <f t="shared" si="2"/>
        <v>1437.54</v>
      </c>
      <c r="H16" s="345">
        <f t="shared" si="2"/>
        <v>1437.54</v>
      </c>
      <c r="I16" s="345">
        <f t="shared" si="2"/>
        <v>1437.54</v>
      </c>
      <c r="J16" s="345">
        <f t="shared" si="2"/>
        <v>1437.54</v>
      </c>
      <c r="K16" s="345">
        <f t="shared" si="2"/>
        <v>1437.54</v>
      </c>
    </row>
    <row r="17" spans="1:21">
      <c r="A17" s="346" t="s">
        <v>274</v>
      </c>
      <c r="B17" s="347">
        <f>MAX(N!C:C)</f>
        <v>85.81</v>
      </c>
      <c r="C17" s="347">
        <f>MAX(N!D:D)</f>
        <v>79.209999999999994</v>
      </c>
      <c r="D17" s="347">
        <f>MAX(N!E:E)</f>
        <v>73.819999999999993</v>
      </c>
      <c r="E17" s="347">
        <f>MAX(N!H:H)</f>
        <v>61.86</v>
      </c>
      <c r="F17" s="347">
        <f>MAX(N!H:H)</f>
        <v>61.86</v>
      </c>
      <c r="G17" s="347">
        <f>MAX(N!I:I)</f>
        <v>59.36</v>
      </c>
      <c r="H17" s="347">
        <f>MAX(N!J:J)</f>
        <v>56.85</v>
      </c>
      <c r="I17" s="347">
        <f>MAX(N!K:K)</f>
        <v>55.29</v>
      </c>
      <c r="J17" s="347">
        <f>MAX(N!L:L)</f>
        <v>55.29</v>
      </c>
      <c r="K17" s="347">
        <f>MAX(N!O:O)</f>
        <v>55.29</v>
      </c>
    </row>
    <row r="18" spans="1:21" ht="15" thickBot="1">
      <c r="A18" s="348" t="s">
        <v>276</v>
      </c>
      <c r="B18" s="349">
        <f>B17*26</f>
        <v>2231.06</v>
      </c>
      <c r="C18" s="349">
        <f t="shared" ref="C18:K18" si="3">C17*26</f>
        <v>2059.46</v>
      </c>
      <c r="D18" s="349">
        <f t="shared" si="3"/>
        <v>1919.3199999999997</v>
      </c>
      <c r="E18" s="349">
        <f t="shared" si="3"/>
        <v>1608.36</v>
      </c>
      <c r="F18" s="349">
        <f t="shared" si="3"/>
        <v>1608.36</v>
      </c>
      <c r="G18" s="349">
        <f t="shared" si="3"/>
        <v>1543.36</v>
      </c>
      <c r="H18" s="349">
        <f t="shared" si="3"/>
        <v>1478.1000000000001</v>
      </c>
      <c r="I18" s="349">
        <f t="shared" si="3"/>
        <v>1437.54</v>
      </c>
      <c r="J18" s="349">
        <f t="shared" si="3"/>
        <v>1437.54</v>
      </c>
      <c r="K18" s="349">
        <f t="shared" si="3"/>
        <v>1437.54</v>
      </c>
    </row>
    <row r="19" spans="1:21" ht="3.75" customHeight="1" thickBot="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21" ht="15" thickBot="1">
      <c r="A20" s="612" t="s">
        <v>280</v>
      </c>
      <c r="B20" s="613"/>
      <c r="C20" s="613"/>
      <c r="D20" s="613"/>
      <c r="E20" s="613"/>
      <c r="F20" s="613"/>
      <c r="G20" s="613"/>
      <c r="H20" s="613"/>
      <c r="I20" s="613"/>
      <c r="J20" s="613"/>
      <c r="K20" s="614"/>
    </row>
    <row r="21" spans="1:21">
      <c r="A21" s="343" t="s">
        <v>273</v>
      </c>
      <c r="B21" s="251">
        <f>B!C8</f>
        <v>53.22</v>
      </c>
      <c r="C21" s="251">
        <f>B!D8</f>
        <v>49.13</v>
      </c>
      <c r="D21" s="251">
        <f>B!E8</f>
        <v>49.13</v>
      </c>
      <c r="E21" s="251">
        <f>B!H8</f>
        <v>40.72</v>
      </c>
      <c r="F21" s="251">
        <f>B!H8</f>
        <v>40.72</v>
      </c>
      <c r="G21" s="251">
        <f>B!I8</f>
        <v>38.31</v>
      </c>
      <c r="H21" s="251">
        <f>B!J8</f>
        <v>35.909999999999997</v>
      </c>
      <c r="I21" s="251">
        <f>B!K8</f>
        <v>33.5</v>
      </c>
      <c r="J21" s="251">
        <f>B!L8</f>
        <v>31.1</v>
      </c>
      <c r="K21" s="251">
        <f>B!O9</f>
        <v>28.69</v>
      </c>
    </row>
    <row r="22" spans="1:21">
      <c r="A22" s="344" t="s">
        <v>275</v>
      </c>
      <c r="B22" s="345">
        <f>B21*26</f>
        <v>1383.72</v>
      </c>
      <c r="C22" s="345">
        <f t="shared" ref="C22:K22" si="4">C21*26</f>
        <v>1277.3800000000001</v>
      </c>
      <c r="D22" s="345">
        <f t="shared" si="4"/>
        <v>1277.3800000000001</v>
      </c>
      <c r="E22" s="345">
        <f t="shared" si="4"/>
        <v>1058.72</v>
      </c>
      <c r="F22" s="345">
        <f t="shared" si="4"/>
        <v>1058.72</v>
      </c>
      <c r="G22" s="345">
        <f t="shared" si="4"/>
        <v>996.06000000000006</v>
      </c>
      <c r="H22" s="345">
        <f t="shared" si="4"/>
        <v>933.65999999999985</v>
      </c>
      <c r="I22" s="345">
        <f t="shared" si="4"/>
        <v>871</v>
      </c>
      <c r="J22" s="345">
        <f t="shared" si="4"/>
        <v>808.6</v>
      </c>
      <c r="K22" s="345">
        <f t="shared" si="4"/>
        <v>745.94</v>
      </c>
    </row>
    <row r="23" spans="1:21">
      <c r="A23" s="346" t="s">
        <v>274</v>
      </c>
      <c r="B23" s="347">
        <f>MAX(B!C:C)</f>
        <v>85.81</v>
      </c>
      <c r="C23" s="347">
        <f>MAX(B!D:D)</f>
        <v>79.209999999999994</v>
      </c>
      <c r="D23" s="347">
        <f>MAX(B!E:E)</f>
        <v>73.819999999999993</v>
      </c>
      <c r="E23" s="347">
        <f>MAX(B!H:H)</f>
        <v>45.99</v>
      </c>
      <c r="F23" s="347">
        <f>MAX(B!H:H)</f>
        <v>45.99</v>
      </c>
      <c r="G23" s="347">
        <f>MAX(B!I:I)</f>
        <v>42</v>
      </c>
      <c r="H23" s="347">
        <f>MAX(B!J:J)</f>
        <v>38.020000000000003</v>
      </c>
      <c r="I23" s="347">
        <f>MAX(B!K:K)</f>
        <v>34.03</v>
      </c>
      <c r="J23" s="347">
        <f>MAX(B!L:L)</f>
        <v>31.1</v>
      </c>
      <c r="K23" s="347">
        <f>MAX(B!O:O)</f>
        <v>28.69</v>
      </c>
    </row>
    <row r="24" spans="1:21" ht="15" thickBot="1">
      <c r="A24" s="348" t="s">
        <v>276</v>
      </c>
      <c r="B24" s="349">
        <f>B23*26</f>
        <v>2231.06</v>
      </c>
      <c r="C24" s="349">
        <f t="shared" ref="C24:K24" si="5">C23*26</f>
        <v>2059.46</v>
      </c>
      <c r="D24" s="349">
        <f t="shared" si="5"/>
        <v>1919.3199999999997</v>
      </c>
      <c r="E24" s="349">
        <f t="shared" si="5"/>
        <v>1195.74</v>
      </c>
      <c r="F24" s="349">
        <f t="shared" si="5"/>
        <v>1195.74</v>
      </c>
      <c r="G24" s="349">
        <f t="shared" si="5"/>
        <v>1092</v>
      </c>
      <c r="H24" s="349">
        <f t="shared" si="5"/>
        <v>988.5200000000001</v>
      </c>
      <c r="I24" s="349">
        <f t="shared" si="5"/>
        <v>884.78</v>
      </c>
      <c r="J24" s="349">
        <f t="shared" si="5"/>
        <v>808.6</v>
      </c>
      <c r="K24" s="349">
        <f t="shared" si="5"/>
        <v>745.94</v>
      </c>
    </row>
    <row r="25" spans="1:21" ht="3.75" customHeight="1" thickBot="1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</row>
    <row r="26" spans="1:21" ht="15" thickBot="1">
      <c r="A26" s="612" t="s">
        <v>285</v>
      </c>
      <c r="B26" s="613"/>
      <c r="C26" s="613"/>
      <c r="D26" s="613"/>
      <c r="E26" s="613"/>
      <c r="F26" s="613"/>
      <c r="G26" s="613"/>
      <c r="H26" s="613"/>
      <c r="I26" s="613"/>
      <c r="J26" s="613"/>
      <c r="K26" s="614"/>
    </row>
    <row r="27" spans="1:21">
      <c r="A27" s="343" t="s">
        <v>273</v>
      </c>
      <c r="B27" s="251">
        <f>'B+'!C8</f>
        <v>53.22</v>
      </c>
      <c r="C27" s="251">
        <f>'B+'!D8</f>
        <v>49.13</v>
      </c>
      <c r="D27" s="251">
        <f>'B+'!E8</f>
        <v>49.13</v>
      </c>
      <c r="E27" s="251">
        <f>'B+'!H8</f>
        <v>40.72</v>
      </c>
      <c r="F27" s="251">
        <f>'B+'!H8</f>
        <v>40.72</v>
      </c>
      <c r="G27" s="251">
        <f>'B+'!I10</f>
        <v>39.75</v>
      </c>
      <c r="H27" s="251">
        <f>'B+'!J10</f>
        <v>39.75</v>
      </c>
      <c r="I27" s="251">
        <f>'B+'!K10</f>
        <v>39.75</v>
      </c>
      <c r="J27" s="251">
        <f>'B+'!L10</f>
        <v>39.75</v>
      </c>
      <c r="K27" s="251">
        <f>'B+'!O10</f>
        <v>39.75</v>
      </c>
    </row>
    <row r="28" spans="1:21">
      <c r="A28" s="344" t="s">
        <v>275</v>
      </c>
      <c r="B28" s="345">
        <f>B27*26</f>
        <v>1383.72</v>
      </c>
      <c r="C28" s="345">
        <f t="shared" ref="C28:K28" si="6">C27*26</f>
        <v>1277.3800000000001</v>
      </c>
      <c r="D28" s="345">
        <f t="shared" si="6"/>
        <v>1277.3800000000001</v>
      </c>
      <c r="E28" s="345">
        <f t="shared" si="6"/>
        <v>1058.72</v>
      </c>
      <c r="F28" s="345">
        <f t="shared" si="6"/>
        <v>1058.72</v>
      </c>
      <c r="G28" s="345">
        <f t="shared" si="6"/>
        <v>1033.5</v>
      </c>
      <c r="H28" s="345">
        <f t="shared" si="6"/>
        <v>1033.5</v>
      </c>
      <c r="I28" s="345">
        <f t="shared" si="6"/>
        <v>1033.5</v>
      </c>
      <c r="J28" s="345">
        <f t="shared" si="6"/>
        <v>1033.5</v>
      </c>
      <c r="K28" s="345">
        <f t="shared" si="6"/>
        <v>1033.5</v>
      </c>
    </row>
    <row r="29" spans="1:21">
      <c r="A29" s="346" t="s">
        <v>274</v>
      </c>
      <c r="B29" s="347">
        <f>MAX('B+'!C:C)</f>
        <v>85.81</v>
      </c>
      <c r="C29" s="347">
        <f>MAX('B+'!D:D)</f>
        <v>79.209999999999994</v>
      </c>
      <c r="D29" s="347">
        <f>MAX('B+'!E:E)</f>
        <v>73.819999999999993</v>
      </c>
      <c r="E29" s="347">
        <f>MAX('B+'!H:H)</f>
        <v>45.99</v>
      </c>
      <c r="F29" s="347">
        <f>MAX('B+'!H:H)</f>
        <v>45.99</v>
      </c>
      <c r="G29" s="347">
        <f>MAX('B+'!I:I)</f>
        <v>43.64</v>
      </c>
      <c r="H29" s="347">
        <f>MAX('B+'!J:J)</f>
        <v>41.29</v>
      </c>
      <c r="I29" s="347">
        <f>MAX('B+'!K:K)</f>
        <v>39.75</v>
      </c>
      <c r="J29" s="347">
        <f>MAX('B+'!L:L)</f>
        <v>39.75</v>
      </c>
      <c r="K29" s="347">
        <f>MAX('B+'!O:O)</f>
        <v>39.75</v>
      </c>
    </row>
    <row r="30" spans="1:21" ht="15" thickBot="1">
      <c r="A30" s="348" t="s">
        <v>276</v>
      </c>
      <c r="B30" s="349">
        <f>B29*26</f>
        <v>2231.06</v>
      </c>
      <c r="C30" s="349">
        <f t="shared" ref="C30:K30" si="7">C29*26</f>
        <v>2059.46</v>
      </c>
      <c r="D30" s="349">
        <f t="shared" si="7"/>
        <v>1919.3199999999997</v>
      </c>
      <c r="E30" s="349">
        <f t="shared" si="7"/>
        <v>1195.74</v>
      </c>
      <c r="F30" s="349">
        <f t="shared" si="7"/>
        <v>1195.74</v>
      </c>
      <c r="G30" s="349">
        <f t="shared" si="7"/>
        <v>1134.6400000000001</v>
      </c>
      <c r="H30" s="349">
        <f t="shared" si="7"/>
        <v>1073.54</v>
      </c>
      <c r="I30" s="349">
        <f t="shared" si="7"/>
        <v>1033.5</v>
      </c>
      <c r="J30" s="349">
        <f t="shared" si="7"/>
        <v>1033.5</v>
      </c>
      <c r="K30" s="349">
        <f t="shared" si="7"/>
        <v>1033.5</v>
      </c>
    </row>
    <row r="31" spans="1:2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spans="1:21" ht="15.6">
      <c r="A32" s="406" t="s">
        <v>281</v>
      </c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5"/>
      <c r="T32" s="45"/>
      <c r="U32" s="45"/>
    </row>
    <row r="33" spans="1:21" ht="16.2" thickBot="1">
      <c r="A33" s="406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5"/>
      <c r="T33" s="45"/>
      <c r="U33" s="45"/>
    </row>
    <row r="34" spans="1:21" ht="16.2" thickBot="1">
      <c r="A34" s="406"/>
      <c r="B34" s="350">
        <v>11</v>
      </c>
      <c r="C34" s="350">
        <v>12</v>
      </c>
      <c r="D34" s="350">
        <v>13</v>
      </c>
      <c r="E34" s="350" t="s">
        <v>270</v>
      </c>
      <c r="F34" s="350" t="s">
        <v>271</v>
      </c>
      <c r="G34" s="350">
        <v>21</v>
      </c>
      <c r="H34" s="350">
        <v>22</v>
      </c>
      <c r="I34" s="350">
        <v>23</v>
      </c>
      <c r="J34" s="350">
        <v>24</v>
      </c>
      <c r="K34" s="350" t="s">
        <v>272</v>
      </c>
      <c r="L34" s="404"/>
      <c r="M34" s="404"/>
      <c r="N34" s="404"/>
      <c r="O34" s="404"/>
      <c r="P34" s="404"/>
      <c r="Q34" s="404"/>
      <c r="R34" s="404"/>
      <c r="S34" s="45"/>
      <c r="T34" s="45"/>
      <c r="U34" s="45"/>
    </row>
    <row r="35" spans="1:21" ht="15" thickBot="1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21" ht="15" thickBot="1">
      <c r="A36" s="609" t="s">
        <v>282</v>
      </c>
      <c r="B36" s="610"/>
      <c r="C36" s="610"/>
      <c r="D36" s="610"/>
      <c r="E36" s="610"/>
      <c r="F36" s="610"/>
      <c r="G36" s="610"/>
      <c r="H36" s="610"/>
      <c r="I36" s="610"/>
      <c r="J36" s="610"/>
      <c r="K36" s="611"/>
    </row>
    <row r="37" spans="1:21">
      <c r="A37" s="343" t="s">
        <v>273</v>
      </c>
      <c r="B37" s="251">
        <f>Ahalf_Ademi!C8</f>
        <v>34.119999999999997</v>
      </c>
      <c r="C37" s="251">
        <f>Ahalf_Ademi!D8</f>
        <v>34.119999999999997</v>
      </c>
      <c r="D37" s="251">
        <f>Ahalf_Ademi!E8</f>
        <v>34.119999999999997</v>
      </c>
      <c r="E37" s="251">
        <f>Ahalf_Ademi!G8</f>
        <v>34.119999999999997</v>
      </c>
      <c r="F37" s="251">
        <f>Ahalf_Ademi!G8</f>
        <v>34.119999999999997</v>
      </c>
      <c r="G37" s="251">
        <f>Ahalf_Ademi!H8</f>
        <v>34.119999999999997</v>
      </c>
      <c r="H37" s="251">
        <f>Ahalf_Ademi!I8</f>
        <v>34.119999999999997</v>
      </c>
      <c r="I37" s="251">
        <f>Ahalf_Ademi!J8</f>
        <v>34.119999999999997</v>
      </c>
      <c r="J37" s="251">
        <f>Ahalf_Ademi!K8</f>
        <v>34.119999999999997</v>
      </c>
      <c r="K37" s="251">
        <f>Ahalf_Ademi!M9</f>
        <v>34.119999999999997</v>
      </c>
    </row>
    <row r="38" spans="1:21">
      <c r="A38" s="344" t="s">
        <v>275</v>
      </c>
      <c r="B38" s="345">
        <f>B37*26</f>
        <v>887.11999999999989</v>
      </c>
      <c r="C38" s="345">
        <f t="shared" ref="C38:K38" si="8">C37*26</f>
        <v>887.11999999999989</v>
      </c>
      <c r="D38" s="345">
        <f t="shared" si="8"/>
        <v>887.11999999999989</v>
      </c>
      <c r="E38" s="345">
        <f t="shared" si="8"/>
        <v>887.11999999999989</v>
      </c>
      <c r="F38" s="345">
        <f t="shared" si="8"/>
        <v>887.11999999999989</v>
      </c>
      <c r="G38" s="345">
        <f t="shared" si="8"/>
        <v>887.11999999999989</v>
      </c>
      <c r="H38" s="345">
        <f t="shared" si="8"/>
        <v>887.11999999999989</v>
      </c>
      <c r="I38" s="345">
        <f t="shared" si="8"/>
        <v>887.11999999999989</v>
      </c>
      <c r="J38" s="345">
        <f t="shared" si="8"/>
        <v>887.11999999999989</v>
      </c>
      <c r="K38" s="345">
        <f t="shared" si="8"/>
        <v>887.11999999999989</v>
      </c>
    </row>
    <row r="39" spans="1:21">
      <c r="A39" s="346" t="s">
        <v>274</v>
      </c>
      <c r="B39" s="347">
        <f>MAX(Ahalf_Ademi!C:C)</f>
        <v>42.91</v>
      </c>
      <c r="C39" s="347">
        <f>MAX(Ahalf_Ademi!D:D)</f>
        <v>39.61</v>
      </c>
      <c r="D39" s="347">
        <f>MAX(Ahalf_Ademi!E:E)</f>
        <v>36.909999999999997</v>
      </c>
      <c r="E39" s="347">
        <f>MAX(Ahalf_Ademi!G:G)</f>
        <v>34.5</v>
      </c>
      <c r="F39" s="347">
        <f>MAX(Ahalf_Ademi!G:G)</f>
        <v>34.5</v>
      </c>
      <c r="G39" s="347">
        <f>MAX(Ahalf_Ademi!H:H)</f>
        <v>34.119999999999997</v>
      </c>
      <c r="H39" s="347">
        <f>MAX(Ahalf_Ademi!I:I)</f>
        <v>34.119999999999997</v>
      </c>
      <c r="I39" s="347">
        <f>MAX(Ahalf_Ademi!J:J)</f>
        <v>34.119999999999997</v>
      </c>
      <c r="J39" s="347">
        <f>MAX(Ahalf_Ademi!K:K)</f>
        <v>34.119999999999997</v>
      </c>
      <c r="K39" s="347">
        <f>MAX(Ahalf_Ademi!M:M)</f>
        <v>34.119999999999997</v>
      </c>
    </row>
    <row r="40" spans="1:21" ht="15" thickBot="1">
      <c r="A40" s="348" t="s">
        <v>276</v>
      </c>
      <c r="B40" s="349">
        <f>B39*26</f>
        <v>1115.6599999999999</v>
      </c>
      <c r="C40" s="349">
        <f t="shared" ref="C40:K40" si="9">C39*26</f>
        <v>1029.8599999999999</v>
      </c>
      <c r="D40" s="349">
        <f t="shared" si="9"/>
        <v>959.65999999999985</v>
      </c>
      <c r="E40" s="349">
        <f t="shared" si="9"/>
        <v>897</v>
      </c>
      <c r="F40" s="349">
        <f t="shared" si="9"/>
        <v>897</v>
      </c>
      <c r="G40" s="349">
        <f t="shared" si="9"/>
        <v>887.11999999999989</v>
      </c>
      <c r="H40" s="349">
        <f t="shared" si="9"/>
        <v>887.11999999999989</v>
      </c>
      <c r="I40" s="349">
        <f t="shared" si="9"/>
        <v>887.11999999999989</v>
      </c>
      <c r="J40" s="349">
        <f t="shared" si="9"/>
        <v>887.11999999999989</v>
      </c>
      <c r="K40" s="349">
        <f t="shared" si="9"/>
        <v>887.11999999999989</v>
      </c>
    </row>
    <row r="41" spans="1:21" ht="3.75" customHeight="1" thickBot="1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</row>
    <row r="42" spans="1:21" ht="15" thickBot="1">
      <c r="A42" s="609" t="s">
        <v>283</v>
      </c>
      <c r="B42" s="610"/>
      <c r="C42" s="610"/>
      <c r="D42" s="610"/>
      <c r="E42" s="610"/>
      <c r="F42" s="610"/>
      <c r="G42" s="610"/>
      <c r="H42" s="610"/>
      <c r="I42" s="610"/>
      <c r="J42" s="610"/>
      <c r="K42" s="611"/>
    </row>
    <row r="43" spans="1:21">
      <c r="A43" s="343" t="s">
        <v>273</v>
      </c>
      <c r="B43" s="251">
        <f>Nhalf_Ndemi!C8</f>
        <v>27.65</v>
      </c>
      <c r="C43" s="251">
        <f>Nhalf_Ndemi!D8</f>
        <v>27.65</v>
      </c>
      <c r="D43" s="251">
        <f>Nhalf_Ndemi!E8</f>
        <v>27.65</v>
      </c>
      <c r="E43" s="251">
        <f>Nhalf_Ndemi!H8</f>
        <v>27.65</v>
      </c>
      <c r="F43" s="251">
        <f>Nhalf_Ndemi!H8</f>
        <v>27.65</v>
      </c>
      <c r="G43" s="251">
        <f>Nhalf_Ndemi!I8</f>
        <v>27.65</v>
      </c>
      <c r="H43" s="251">
        <f>Nhalf_Ndemi!J8</f>
        <v>27.65</v>
      </c>
      <c r="I43" s="251">
        <f>Nhalf_Ndemi!K8</f>
        <v>27.65</v>
      </c>
      <c r="J43" s="251">
        <f>Nhalf_Ndemi!L8</f>
        <v>27.65</v>
      </c>
      <c r="K43" s="251">
        <f>Nhalf_Ndemi!N9</f>
        <v>27.65</v>
      </c>
    </row>
    <row r="44" spans="1:21">
      <c r="A44" s="344" t="s">
        <v>275</v>
      </c>
      <c r="B44" s="345">
        <f>B43*26</f>
        <v>718.9</v>
      </c>
      <c r="C44" s="345">
        <f t="shared" ref="C44:K44" si="10">C43*26</f>
        <v>718.9</v>
      </c>
      <c r="D44" s="345">
        <f t="shared" si="10"/>
        <v>718.9</v>
      </c>
      <c r="E44" s="345">
        <f t="shared" si="10"/>
        <v>718.9</v>
      </c>
      <c r="F44" s="345">
        <f t="shared" si="10"/>
        <v>718.9</v>
      </c>
      <c r="G44" s="345">
        <f t="shared" si="10"/>
        <v>718.9</v>
      </c>
      <c r="H44" s="345">
        <f t="shared" si="10"/>
        <v>718.9</v>
      </c>
      <c r="I44" s="345">
        <f t="shared" si="10"/>
        <v>718.9</v>
      </c>
      <c r="J44" s="345">
        <f t="shared" si="10"/>
        <v>718.9</v>
      </c>
      <c r="K44" s="345">
        <f t="shared" si="10"/>
        <v>718.9</v>
      </c>
    </row>
    <row r="45" spans="1:21">
      <c r="A45" s="346" t="s">
        <v>274</v>
      </c>
      <c r="B45" s="347">
        <f>MAX(Nhalf_Ndemi!C:C)</f>
        <v>42.91</v>
      </c>
      <c r="C45" s="347">
        <f>MAX(Nhalf_Ndemi!D:D)</f>
        <v>39.61</v>
      </c>
      <c r="D45" s="347">
        <f>MAX(Nhalf_Ndemi!E:E)</f>
        <v>36.909999999999997</v>
      </c>
      <c r="E45" s="347">
        <f>MAX(Nhalf_Ndemi!H:H)</f>
        <v>30.93</v>
      </c>
      <c r="F45" s="347">
        <f>MAX(Nhalf_Ndemi!H:H)</f>
        <v>30.93</v>
      </c>
      <c r="G45" s="347">
        <f>MAX(Nhalf_Ndemi!I:I)</f>
        <v>29.68</v>
      </c>
      <c r="H45" s="347">
        <f>MAX(Nhalf_Ndemi!J:J)</f>
        <v>28.43</v>
      </c>
      <c r="I45" s="347">
        <f>MAX(Nhalf_Ndemi!K:K)</f>
        <v>27.65</v>
      </c>
      <c r="J45" s="347">
        <f>MAX(Nhalf_Ndemi!L:L)</f>
        <v>27.65</v>
      </c>
      <c r="K45" s="347">
        <f>MAX(Nhalf_Ndemi!N:N)</f>
        <v>27.65</v>
      </c>
    </row>
    <row r="46" spans="1:21" ht="15" thickBot="1">
      <c r="A46" s="348" t="s">
        <v>276</v>
      </c>
      <c r="B46" s="349">
        <f>B45*26</f>
        <v>1115.6599999999999</v>
      </c>
      <c r="C46" s="349">
        <f t="shared" ref="C46:K46" si="11">C45*26</f>
        <v>1029.8599999999999</v>
      </c>
      <c r="D46" s="349">
        <f t="shared" si="11"/>
        <v>959.65999999999985</v>
      </c>
      <c r="E46" s="349">
        <f t="shared" si="11"/>
        <v>804.18</v>
      </c>
      <c r="F46" s="349">
        <f t="shared" si="11"/>
        <v>804.18</v>
      </c>
      <c r="G46" s="349">
        <f t="shared" si="11"/>
        <v>771.68</v>
      </c>
      <c r="H46" s="349">
        <f t="shared" si="11"/>
        <v>739.18</v>
      </c>
      <c r="I46" s="349">
        <f t="shared" si="11"/>
        <v>718.9</v>
      </c>
      <c r="J46" s="349">
        <f t="shared" si="11"/>
        <v>718.9</v>
      </c>
      <c r="K46" s="349">
        <f t="shared" si="11"/>
        <v>718.9</v>
      </c>
    </row>
    <row r="47" spans="1:21" ht="3.75" customHeight="1" thickBot="1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</row>
    <row r="48" spans="1:21" ht="15" thickBot="1">
      <c r="A48" s="612" t="s">
        <v>284</v>
      </c>
      <c r="B48" s="613"/>
      <c r="C48" s="613"/>
      <c r="D48" s="613"/>
      <c r="E48" s="613"/>
      <c r="F48" s="613"/>
      <c r="G48" s="613"/>
      <c r="H48" s="613"/>
      <c r="I48" s="613"/>
      <c r="J48" s="613"/>
      <c r="K48" s="614"/>
    </row>
    <row r="49" spans="1:21">
      <c r="A49" s="343" t="s">
        <v>273</v>
      </c>
      <c r="B49" s="251">
        <f>Bhalf_Bdemi!C8</f>
        <v>26.61</v>
      </c>
      <c r="C49" s="251">
        <f>Bhalf_Bdemi!D8</f>
        <v>24.57</v>
      </c>
      <c r="D49" s="251">
        <f>Bhalf_Bdemi!E8</f>
        <v>24.57</v>
      </c>
      <c r="E49" s="251">
        <f>Bhalf_Bdemi!H8</f>
        <v>20.36</v>
      </c>
      <c r="F49" s="251">
        <f>Bhalf_Bdemi!H8</f>
        <v>20.36</v>
      </c>
      <c r="G49" s="251">
        <f>Bhalf_Bdemi!I8</f>
        <v>19.16</v>
      </c>
      <c r="H49" s="251">
        <f>Bhalf_Bdemi!J8</f>
        <v>17.96</v>
      </c>
      <c r="I49" s="251">
        <f>Bhalf_Bdemi!K8</f>
        <v>16.75</v>
      </c>
      <c r="J49" s="251">
        <f>Bhalf_Bdemi!L8</f>
        <v>15.55</v>
      </c>
      <c r="K49" s="251">
        <f>Bhalf_Bdemi!N9</f>
        <v>14.35</v>
      </c>
    </row>
    <row r="50" spans="1:21">
      <c r="A50" s="344" t="s">
        <v>275</v>
      </c>
      <c r="B50" s="345">
        <f>B49*26</f>
        <v>691.86</v>
      </c>
      <c r="C50" s="345">
        <f t="shared" ref="C50:K50" si="12">C49*26</f>
        <v>638.82000000000005</v>
      </c>
      <c r="D50" s="345">
        <f t="shared" si="12"/>
        <v>638.82000000000005</v>
      </c>
      <c r="E50" s="345">
        <f t="shared" si="12"/>
        <v>529.36</v>
      </c>
      <c r="F50" s="345">
        <f t="shared" si="12"/>
        <v>529.36</v>
      </c>
      <c r="G50" s="345">
        <f t="shared" si="12"/>
        <v>498.16</v>
      </c>
      <c r="H50" s="345">
        <f t="shared" si="12"/>
        <v>466.96000000000004</v>
      </c>
      <c r="I50" s="345">
        <f t="shared" si="12"/>
        <v>435.5</v>
      </c>
      <c r="J50" s="345">
        <f t="shared" si="12"/>
        <v>404.3</v>
      </c>
      <c r="K50" s="345">
        <f t="shared" si="12"/>
        <v>373.09999999999997</v>
      </c>
    </row>
    <row r="51" spans="1:21">
      <c r="A51" s="346" t="s">
        <v>274</v>
      </c>
      <c r="B51" s="347">
        <f>MAX(Bhalf_Bdemi!C:C)</f>
        <v>42.91</v>
      </c>
      <c r="C51" s="347">
        <f>MAX(Bhalf_Bdemi!D:D)</f>
        <v>39.61</v>
      </c>
      <c r="D51" s="347">
        <f>MAX(Bhalf_Bdemi!E:E)</f>
        <v>36.909999999999997</v>
      </c>
      <c r="E51" s="347">
        <f>MAX(Bhalf_Bdemi!H:H)</f>
        <v>23</v>
      </c>
      <c r="F51" s="347">
        <f>MAX(Bhalf_Bdemi!H:H)</f>
        <v>23</v>
      </c>
      <c r="G51" s="347">
        <f>MAX(Bhalf_Bdemi!I:I)</f>
        <v>21</v>
      </c>
      <c r="H51" s="347">
        <f>MAX(Bhalf_Bdemi!J:J)</f>
        <v>19.010000000000002</v>
      </c>
      <c r="I51" s="347">
        <f>MAX(Bhalf_Bdemi!K:K)</f>
        <v>17.02</v>
      </c>
      <c r="J51" s="347">
        <f>MAX(Bhalf_Bdemi!L:L)</f>
        <v>15.55</v>
      </c>
      <c r="K51" s="347">
        <f>MAX(Bhalf_Bdemi!N:N)</f>
        <v>14.35</v>
      </c>
    </row>
    <row r="52" spans="1:21" ht="15" thickBot="1">
      <c r="A52" s="348" t="s">
        <v>276</v>
      </c>
      <c r="B52" s="349">
        <f>B51*26</f>
        <v>1115.6599999999999</v>
      </c>
      <c r="C52" s="349">
        <f t="shared" ref="C52:K52" si="13">C51*26</f>
        <v>1029.8599999999999</v>
      </c>
      <c r="D52" s="349">
        <f t="shared" si="13"/>
        <v>959.65999999999985</v>
      </c>
      <c r="E52" s="349">
        <f t="shared" si="13"/>
        <v>598</v>
      </c>
      <c r="F52" s="349">
        <f t="shared" si="13"/>
        <v>598</v>
      </c>
      <c r="G52" s="349">
        <f t="shared" si="13"/>
        <v>546</v>
      </c>
      <c r="H52" s="349">
        <f t="shared" si="13"/>
        <v>494.26000000000005</v>
      </c>
      <c r="I52" s="349">
        <f t="shared" si="13"/>
        <v>442.52</v>
      </c>
      <c r="J52" s="349">
        <f t="shared" si="13"/>
        <v>404.3</v>
      </c>
      <c r="K52" s="349">
        <f t="shared" si="13"/>
        <v>373.09999999999997</v>
      </c>
    </row>
    <row r="53" spans="1:21" ht="3.75" customHeight="1" thickBot="1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</row>
    <row r="54" spans="1:21" ht="15" thickBot="1">
      <c r="A54" s="612" t="s">
        <v>286</v>
      </c>
      <c r="B54" s="613"/>
      <c r="C54" s="613"/>
      <c r="D54" s="613"/>
      <c r="E54" s="613"/>
      <c r="F54" s="613"/>
      <c r="G54" s="613"/>
      <c r="H54" s="613"/>
      <c r="I54" s="613"/>
      <c r="J54" s="613"/>
      <c r="K54" s="614"/>
    </row>
    <row r="55" spans="1:21">
      <c r="A55" s="343" t="s">
        <v>273</v>
      </c>
      <c r="B55" s="251">
        <f>'B+half_B+demi'!C8</f>
        <v>26.61</v>
      </c>
      <c r="C55" s="251">
        <f>'B+half_B+demi'!D8</f>
        <v>24.57</v>
      </c>
      <c r="D55" s="251">
        <f>'B+half_B+demi'!E8</f>
        <v>24.57</v>
      </c>
      <c r="E55" s="251">
        <f>'B+half_B+demi'!H8</f>
        <v>20.36</v>
      </c>
      <c r="F55" s="251">
        <f>'B+half_B+demi'!H8</f>
        <v>20.36</v>
      </c>
      <c r="G55" s="251">
        <f>'B+half_B+demi'!I10</f>
        <v>19.88</v>
      </c>
      <c r="H55" s="251">
        <f>'B+half_B+demi'!J10</f>
        <v>19.88</v>
      </c>
      <c r="I55" s="251">
        <f>'B+half_B+demi'!K10</f>
        <v>19.88</v>
      </c>
      <c r="J55" s="251">
        <f>'B+half_B+demi'!L10</f>
        <v>19.88</v>
      </c>
      <c r="K55" s="251">
        <f>'B+half_B+demi'!N10</f>
        <v>19.88</v>
      </c>
    </row>
    <row r="56" spans="1:21">
      <c r="A56" s="344" t="s">
        <v>275</v>
      </c>
      <c r="B56" s="345">
        <f>B55*26</f>
        <v>691.86</v>
      </c>
      <c r="C56" s="345">
        <f t="shared" ref="C56:K56" si="14">C55*26</f>
        <v>638.82000000000005</v>
      </c>
      <c r="D56" s="345">
        <f t="shared" si="14"/>
        <v>638.82000000000005</v>
      </c>
      <c r="E56" s="345">
        <f t="shared" si="14"/>
        <v>529.36</v>
      </c>
      <c r="F56" s="345">
        <f t="shared" si="14"/>
        <v>529.36</v>
      </c>
      <c r="G56" s="345">
        <f t="shared" si="14"/>
        <v>516.88</v>
      </c>
      <c r="H56" s="345">
        <f t="shared" si="14"/>
        <v>516.88</v>
      </c>
      <c r="I56" s="345">
        <f t="shared" si="14"/>
        <v>516.88</v>
      </c>
      <c r="J56" s="345">
        <f t="shared" si="14"/>
        <v>516.88</v>
      </c>
      <c r="K56" s="345">
        <f t="shared" si="14"/>
        <v>516.88</v>
      </c>
    </row>
    <row r="57" spans="1:21">
      <c r="A57" s="346" t="s">
        <v>274</v>
      </c>
      <c r="B57" s="347">
        <f>MAX('B+half_B+demi'!C:C)</f>
        <v>42.91</v>
      </c>
      <c r="C57" s="347">
        <f>MAX('B+half_B+demi'!D:D)</f>
        <v>39.61</v>
      </c>
      <c r="D57" s="347">
        <f>MAX('B+half_B+demi'!E:E)</f>
        <v>36.909999999999997</v>
      </c>
      <c r="E57" s="347">
        <f>MAX('B+half_B+demi'!H:H)</f>
        <v>23</v>
      </c>
      <c r="F57" s="347">
        <f>MAX('B+half_B+demi'!H:H)</f>
        <v>23</v>
      </c>
      <c r="G57" s="347">
        <f>MAX('B+half_B+demi'!I:I)</f>
        <v>21.82</v>
      </c>
      <c r="H57" s="347">
        <f>MAX('B+half_B+demi'!J:J)</f>
        <v>20.65</v>
      </c>
      <c r="I57" s="347">
        <f>MAX('B+half_B+demi'!K:K)</f>
        <v>19.88</v>
      </c>
      <c r="J57" s="347">
        <f>MAX('B+half_B+demi'!L:L)</f>
        <v>19.88</v>
      </c>
      <c r="K57" s="347">
        <f>MAX('B+half_B+demi'!N:N)</f>
        <v>19.88</v>
      </c>
    </row>
    <row r="58" spans="1:21" ht="15" thickBot="1">
      <c r="A58" s="348" t="s">
        <v>276</v>
      </c>
      <c r="B58" s="349">
        <f>B57*26</f>
        <v>1115.6599999999999</v>
      </c>
      <c r="C58" s="349">
        <f t="shared" ref="C58:K58" si="15">C57*26</f>
        <v>1029.8599999999999</v>
      </c>
      <c r="D58" s="349">
        <f t="shared" si="15"/>
        <v>959.65999999999985</v>
      </c>
      <c r="E58" s="349">
        <f t="shared" si="15"/>
        <v>598</v>
      </c>
      <c r="F58" s="349">
        <f t="shared" si="15"/>
        <v>598</v>
      </c>
      <c r="G58" s="349">
        <f t="shared" si="15"/>
        <v>567.32000000000005</v>
      </c>
      <c r="H58" s="349">
        <f t="shared" si="15"/>
        <v>536.9</v>
      </c>
      <c r="I58" s="349">
        <f t="shared" si="15"/>
        <v>516.88</v>
      </c>
      <c r="J58" s="349">
        <f t="shared" si="15"/>
        <v>516.88</v>
      </c>
      <c r="K58" s="349">
        <f t="shared" si="15"/>
        <v>516.88</v>
      </c>
    </row>
    <row r="60" spans="1:21" ht="15.6">
      <c r="A60" s="406" t="s">
        <v>287</v>
      </c>
      <c r="C60" s="404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5"/>
      <c r="T60" s="45"/>
      <c r="U60" s="45"/>
    </row>
    <row r="61" spans="1:21" ht="16.2" thickBot="1">
      <c r="A61" s="406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5"/>
      <c r="T61" s="45"/>
      <c r="U61" s="45"/>
    </row>
    <row r="62" spans="1:21" ht="16.2" thickBot="1">
      <c r="A62" s="406"/>
      <c r="B62" s="350">
        <v>11</v>
      </c>
      <c r="C62" s="350">
        <v>12</v>
      </c>
      <c r="D62" s="350">
        <v>13</v>
      </c>
      <c r="E62" s="350" t="s">
        <v>289</v>
      </c>
      <c r="F62" s="350" t="s">
        <v>271</v>
      </c>
      <c r="G62" s="350">
        <v>21</v>
      </c>
      <c r="H62" s="350">
        <v>22</v>
      </c>
      <c r="I62" s="350">
        <v>23</v>
      </c>
      <c r="J62" s="350">
        <v>24</v>
      </c>
      <c r="K62" s="350" t="s">
        <v>272</v>
      </c>
      <c r="L62" s="404"/>
      <c r="M62" s="404"/>
      <c r="N62" s="404"/>
      <c r="O62" s="404"/>
      <c r="P62" s="404"/>
      <c r="Q62" s="404"/>
      <c r="R62" s="404"/>
      <c r="S62" s="45"/>
      <c r="T62" s="45"/>
      <c r="U62" s="45"/>
    </row>
    <row r="63" spans="1:21" ht="15" thickBot="1"/>
    <row r="64" spans="1:21" ht="15" thickBot="1">
      <c r="A64" s="612" t="s">
        <v>278</v>
      </c>
      <c r="B64" s="613"/>
      <c r="C64" s="613"/>
      <c r="D64" s="613"/>
      <c r="E64" s="613"/>
      <c r="F64" s="613"/>
      <c r="G64" s="613"/>
      <c r="H64" s="613"/>
      <c r="I64" s="613"/>
      <c r="J64" s="613"/>
      <c r="K64" s="614"/>
    </row>
    <row r="65" spans="1:11">
      <c r="A65" s="343" t="s">
        <v>273</v>
      </c>
      <c r="B65" s="251">
        <f>A!C8</f>
        <v>68.23</v>
      </c>
      <c r="C65" s="251">
        <f>A!D8</f>
        <v>68.23</v>
      </c>
      <c r="D65" s="251">
        <f>A!E8</f>
        <v>68.23</v>
      </c>
      <c r="E65" s="251">
        <f>A!P8</f>
        <v>69.14</v>
      </c>
      <c r="F65" s="251">
        <f>A!P8</f>
        <v>69.14</v>
      </c>
      <c r="G65" s="251">
        <f>A!Q8</f>
        <v>69.14</v>
      </c>
      <c r="H65" s="251">
        <f>A!R8</f>
        <v>69.14</v>
      </c>
      <c r="I65" s="251">
        <f>A!S8</f>
        <v>69.14</v>
      </c>
      <c r="J65" s="251">
        <f>A!T8</f>
        <v>69.14</v>
      </c>
      <c r="K65" s="251">
        <f>A!W9</f>
        <v>69.14</v>
      </c>
    </row>
    <row r="66" spans="1:11">
      <c r="A66" s="344" t="s">
        <v>275</v>
      </c>
      <c r="B66" s="345">
        <f>B65*26</f>
        <v>1773.98</v>
      </c>
      <c r="C66" s="345">
        <f t="shared" ref="C66:K66" si="16">C65*26</f>
        <v>1773.98</v>
      </c>
      <c r="D66" s="345">
        <f t="shared" si="16"/>
        <v>1773.98</v>
      </c>
      <c r="E66" s="345">
        <f t="shared" si="16"/>
        <v>1797.64</v>
      </c>
      <c r="F66" s="345">
        <f t="shared" si="16"/>
        <v>1797.64</v>
      </c>
      <c r="G66" s="345">
        <f t="shared" si="16"/>
        <v>1797.64</v>
      </c>
      <c r="H66" s="345">
        <f t="shared" si="16"/>
        <v>1797.64</v>
      </c>
      <c r="I66" s="345">
        <f t="shared" si="16"/>
        <v>1797.64</v>
      </c>
      <c r="J66" s="345">
        <f t="shared" si="16"/>
        <v>1797.64</v>
      </c>
      <c r="K66" s="345">
        <f t="shared" si="16"/>
        <v>1797.64</v>
      </c>
    </row>
    <row r="67" spans="1:11">
      <c r="A67" s="346" t="s">
        <v>274</v>
      </c>
      <c r="B67" s="347">
        <f>MAX(A!C:C)</f>
        <v>85.81</v>
      </c>
      <c r="C67" s="347">
        <f>MAX(A!D:D)</f>
        <v>79.209999999999994</v>
      </c>
      <c r="D67" s="347">
        <f>MAX(A!E:E)</f>
        <v>73.819999999999993</v>
      </c>
      <c r="E67" s="347">
        <f>MAX(A!P:P)</f>
        <v>75.149999999999991</v>
      </c>
      <c r="F67" s="347">
        <f>MAX(A!P:P)</f>
        <v>75.149999999999991</v>
      </c>
      <c r="G67" s="347">
        <f>MAX(A!Q:Q)</f>
        <v>73.17</v>
      </c>
      <c r="H67" s="347">
        <f>MAX(A!R:R)</f>
        <v>73.17</v>
      </c>
      <c r="I67" s="347">
        <f>MAX(A!S:S)</f>
        <v>73.17</v>
      </c>
      <c r="J67" s="347">
        <f>MAX(A!T:T)</f>
        <v>73.17</v>
      </c>
      <c r="K67" s="347">
        <f>MAX(A!W:W)</f>
        <v>73.17</v>
      </c>
    </row>
    <row r="68" spans="1:11" ht="15" thickBot="1">
      <c r="A68" s="348" t="s">
        <v>276</v>
      </c>
      <c r="B68" s="349">
        <f>B67*26</f>
        <v>2231.06</v>
      </c>
      <c r="C68" s="349">
        <f t="shared" ref="C68:K68" si="17">C67*26</f>
        <v>2059.46</v>
      </c>
      <c r="D68" s="349">
        <f t="shared" si="17"/>
        <v>1919.3199999999997</v>
      </c>
      <c r="E68" s="349">
        <f t="shared" si="17"/>
        <v>1953.8999999999999</v>
      </c>
      <c r="F68" s="349">
        <f t="shared" si="17"/>
        <v>1953.8999999999999</v>
      </c>
      <c r="G68" s="349">
        <f t="shared" si="17"/>
        <v>1902.42</v>
      </c>
      <c r="H68" s="349">
        <f t="shared" si="17"/>
        <v>1902.42</v>
      </c>
      <c r="I68" s="349">
        <f t="shared" si="17"/>
        <v>1902.42</v>
      </c>
      <c r="J68" s="349">
        <f t="shared" si="17"/>
        <v>1902.42</v>
      </c>
      <c r="K68" s="349">
        <f t="shared" si="17"/>
        <v>1902.42</v>
      </c>
    </row>
    <row r="69" spans="1:11" ht="3.75" customHeight="1" thickBot="1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</row>
    <row r="70" spans="1:11" ht="15" thickBot="1">
      <c r="A70" s="612" t="s">
        <v>279</v>
      </c>
      <c r="B70" s="613"/>
      <c r="C70" s="613"/>
      <c r="D70" s="613"/>
      <c r="E70" s="613"/>
      <c r="F70" s="613"/>
      <c r="G70" s="613"/>
      <c r="H70" s="613"/>
      <c r="I70" s="613"/>
      <c r="J70" s="613"/>
      <c r="K70" s="614"/>
    </row>
    <row r="71" spans="1:11">
      <c r="A71" s="343" t="s">
        <v>273</v>
      </c>
      <c r="B71" s="251">
        <f>N!C8</f>
        <v>55.29</v>
      </c>
      <c r="C71" s="251">
        <f>N!D8</f>
        <v>55.29</v>
      </c>
      <c r="D71" s="251">
        <f>N!E8</f>
        <v>55.29</v>
      </c>
      <c r="E71" s="251">
        <f>N!Q8</f>
        <v>61.35</v>
      </c>
      <c r="F71" s="251">
        <f>N!Q8</f>
        <v>61.35</v>
      </c>
      <c r="G71" s="251">
        <f>N!R8</f>
        <v>60.23</v>
      </c>
      <c r="H71" s="251">
        <f>N!S8</f>
        <v>60.23</v>
      </c>
      <c r="I71" s="251">
        <f>N!T8</f>
        <v>60.23</v>
      </c>
      <c r="J71" s="251">
        <f>N!U8</f>
        <v>60.23</v>
      </c>
      <c r="K71" s="251">
        <f>N!X9</f>
        <v>60.23</v>
      </c>
    </row>
    <row r="72" spans="1:11">
      <c r="A72" s="344" t="s">
        <v>275</v>
      </c>
      <c r="B72" s="345">
        <f>B71*26</f>
        <v>1437.54</v>
      </c>
      <c r="C72" s="345">
        <f t="shared" ref="C72:K72" si="18">C71*26</f>
        <v>1437.54</v>
      </c>
      <c r="D72" s="345">
        <f t="shared" si="18"/>
        <v>1437.54</v>
      </c>
      <c r="E72" s="345">
        <f t="shared" si="18"/>
        <v>1595.1000000000001</v>
      </c>
      <c r="F72" s="345">
        <f t="shared" si="18"/>
        <v>1595.1000000000001</v>
      </c>
      <c r="G72" s="345">
        <f t="shared" si="18"/>
        <v>1565.98</v>
      </c>
      <c r="H72" s="345">
        <f t="shared" si="18"/>
        <v>1565.98</v>
      </c>
      <c r="I72" s="345">
        <f t="shared" si="18"/>
        <v>1565.98</v>
      </c>
      <c r="J72" s="345">
        <f t="shared" si="18"/>
        <v>1565.98</v>
      </c>
      <c r="K72" s="345">
        <f t="shared" si="18"/>
        <v>1565.98</v>
      </c>
    </row>
    <row r="73" spans="1:11">
      <c r="A73" s="346" t="s">
        <v>274</v>
      </c>
      <c r="B73" s="347">
        <f>MAX(N!C:C)</f>
        <v>85.81</v>
      </c>
      <c r="C73" s="347">
        <f>MAX(N!D:D)</f>
        <v>79.209999999999994</v>
      </c>
      <c r="D73" s="347">
        <f>MAX(N!E:E)</f>
        <v>73.819999999999993</v>
      </c>
      <c r="E73" s="347">
        <f>MAX(N!Q:Q)</f>
        <v>68.989999999999995</v>
      </c>
      <c r="F73" s="347">
        <f>MAX(N!Q:Q)</f>
        <v>68.989999999999995</v>
      </c>
      <c r="G73" s="347">
        <f>MAX(N!R:R)</f>
        <v>66.05</v>
      </c>
      <c r="H73" s="347">
        <f>MAX(N!S:S)</f>
        <v>63.11</v>
      </c>
      <c r="I73" s="347">
        <f>MAX(N!T:T)</f>
        <v>60.23</v>
      </c>
      <c r="J73" s="347">
        <f>MAX(N!U:U)</f>
        <v>60.23</v>
      </c>
      <c r="K73" s="347">
        <f>MAX(N!X:X)</f>
        <v>60.23</v>
      </c>
    </row>
    <row r="74" spans="1:11" ht="15" thickBot="1">
      <c r="A74" s="348" t="s">
        <v>276</v>
      </c>
      <c r="B74" s="349">
        <f>B73*26</f>
        <v>2231.06</v>
      </c>
      <c r="C74" s="349">
        <f t="shared" ref="C74:K74" si="19">C73*26</f>
        <v>2059.46</v>
      </c>
      <c r="D74" s="349">
        <f t="shared" si="19"/>
        <v>1919.3199999999997</v>
      </c>
      <c r="E74" s="349">
        <f t="shared" si="19"/>
        <v>1793.7399999999998</v>
      </c>
      <c r="F74" s="349">
        <f t="shared" si="19"/>
        <v>1793.7399999999998</v>
      </c>
      <c r="G74" s="349">
        <f t="shared" si="19"/>
        <v>1717.3</v>
      </c>
      <c r="H74" s="349">
        <f t="shared" si="19"/>
        <v>1640.86</v>
      </c>
      <c r="I74" s="349">
        <f t="shared" si="19"/>
        <v>1565.98</v>
      </c>
      <c r="J74" s="349">
        <f t="shared" si="19"/>
        <v>1565.98</v>
      </c>
      <c r="K74" s="349">
        <f t="shared" si="19"/>
        <v>1565.98</v>
      </c>
    </row>
    <row r="75" spans="1:11" ht="3.75" customHeight="1" thickBot="1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</row>
    <row r="76" spans="1:11" ht="15" thickBot="1">
      <c r="A76" s="612" t="s">
        <v>280</v>
      </c>
      <c r="B76" s="613"/>
      <c r="C76" s="613"/>
      <c r="D76" s="613"/>
      <c r="E76" s="613"/>
      <c r="F76" s="613"/>
      <c r="G76" s="613"/>
      <c r="H76" s="613"/>
      <c r="I76" s="613"/>
      <c r="J76" s="613"/>
      <c r="K76" s="614"/>
    </row>
    <row r="77" spans="1:11" ht="15" thickBot="1">
      <c r="A77" s="353" t="s">
        <v>38</v>
      </c>
      <c r="B77" s="407"/>
      <c r="C77" s="407"/>
      <c r="D77" s="407"/>
      <c r="E77" s="407"/>
      <c r="F77" s="407"/>
      <c r="G77" s="407"/>
      <c r="H77" s="407"/>
      <c r="I77" s="407"/>
      <c r="J77" s="407"/>
      <c r="K77" s="408"/>
    </row>
    <row r="78" spans="1:11">
      <c r="A78" s="343" t="s">
        <v>273</v>
      </c>
      <c r="B78" s="251">
        <f>B!C8</f>
        <v>53.22</v>
      </c>
      <c r="C78" s="251">
        <f>B!D8</f>
        <v>49.13</v>
      </c>
      <c r="D78" s="251">
        <f>B!E8</f>
        <v>49.13</v>
      </c>
      <c r="E78" s="251">
        <f>B!Q8</f>
        <v>54.55</v>
      </c>
      <c r="F78" s="251">
        <f>B!Q8</f>
        <v>54.55</v>
      </c>
      <c r="G78" s="251">
        <f>B!R8</f>
        <v>49.84</v>
      </c>
      <c r="H78" s="251">
        <f>B!S8</f>
        <v>45.13</v>
      </c>
      <c r="I78" s="251">
        <f>B!T8</f>
        <v>40.42</v>
      </c>
      <c r="J78" s="251">
        <f>B!U8</f>
        <v>35.71</v>
      </c>
      <c r="K78" s="251">
        <f>B!X9</f>
        <v>33.630000000000003</v>
      </c>
    </row>
    <row r="79" spans="1:11">
      <c r="A79" s="344" t="s">
        <v>275</v>
      </c>
      <c r="B79" s="345">
        <f>B78*26</f>
        <v>1383.72</v>
      </c>
      <c r="C79" s="345">
        <f t="shared" ref="C79:K79" si="20">C78*26</f>
        <v>1277.3800000000001</v>
      </c>
      <c r="D79" s="345">
        <f t="shared" si="20"/>
        <v>1277.3800000000001</v>
      </c>
      <c r="E79" s="345">
        <f t="shared" si="20"/>
        <v>1418.3</v>
      </c>
      <c r="F79" s="345">
        <f t="shared" si="20"/>
        <v>1418.3</v>
      </c>
      <c r="G79" s="345">
        <f t="shared" si="20"/>
        <v>1295.8400000000001</v>
      </c>
      <c r="H79" s="345">
        <f t="shared" si="20"/>
        <v>1173.3800000000001</v>
      </c>
      <c r="I79" s="345">
        <f t="shared" si="20"/>
        <v>1050.92</v>
      </c>
      <c r="J79" s="345">
        <f t="shared" si="20"/>
        <v>928.46</v>
      </c>
      <c r="K79" s="345">
        <f t="shared" si="20"/>
        <v>874.38000000000011</v>
      </c>
    </row>
    <row r="80" spans="1:11">
      <c r="A80" s="346" t="s">
        <v>274</v>
      </c>
      <c r="B80" s="347">
        <f>MAX(B!C:C)</f>
        <v>85.81</v>
      </c>
      <c r="C80" s="347">
        <f>MAX(B!D:D)</f>
        <v>79.209999999999994</v>
      </c>
      <c r="D80" s="347">
        <f>MAX(B!E:E)</f>
        <v>73.819999999999993</v>
      </c>
      <c r="E80" s="347">
        <f>MAX(B!Q:Q)</f>
        <v>63.24</v>
      </c>
      <c r="F80" s="347">
        <f>MAX(B!Q:Q)</f>
        <v>63.24</v>
      </c>
      <c r="G80" s="347">
        <f>MAX(B!R:R)</f>
        <v>56.79</v>
      </c>
      <c r="H80" s="347">
        <f>MAX(B!S:S)</f>
        <v>50.34</v>
      </c>
      <c r="I80" s="347">
        <f>MAX(B!T:T)</f>
        <v>43.9</v>
      </c>
      <c r="J80" s="347">
        <f>MAX(B!U:U)</f>
        <v>37.450000000000003</v>
      </c>
      <c r="K80" s="347">
        <f>MAX(B!X:X)</f>
        <v>33.630000000000003</v>
      </c>
    </row>
    <row r="81" spans="1:21" ht="15" thickBot="1">
      <c r="A81" s="348" t="s">
        <v>276</v>
      </c>
      <c r="B81" s="349">
        <f>B80*26</f>
        <v>2231.06</v>
      </c>
      <c r="C81" s="349">
        <f t="shared" ref="C81:K81" si="21">C80*26</f>
        <v>2059.46</v>
      </c>
      <c r="D81" s="349">
        <f t="shared" si="21"/>
        <v>1919.3199999999997</v>
      </c>
      <c r="E81" s="349">
        <f t="shared" si="21"/>
        <v>1644.24</v>
      </c>
      <c r="F81" s="349">
        <f t="shared" si="21"/>
        <v>1644.24</v>
      </c>
      <c r="G81" s="349">
        <f t="shared" si="21"/>
        <v>1476.54</v>
      </c>
      <c r="H81" s="349">
        <f t="shared" si="21"/>
        <v>1308.8400000000001</v>
      </c>
      <c r="I81" s="349">
        <f t="shared" si="21"/>
        <v>1141.3999999999999</v>
      </c>
      <c r="J81" s="349">
        <f t="shared" si="21"/>
        <v>973.7</v>
      </c>
      <c r="K81" s="349">
        <f t="shared" si="21"/>
        <v>874.38000000000011</v>
      </c>
    </row>
    <row r="82" spans="1:21" ht="3.75" customHeight="1" thickBot="1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</row>
    <row r="83" spans="1:21" ht="15" thickBot="1">
      <c r="A83" s="612" t="s">
        <v>285</v>
      </c>
      <c r="B83" s="613"/>
      <c r="C83" s="613"/>
      <c r="D83" s="613"/>
      <c r="E83" s="613"/>
      <c r="F83" s="613"/>
      <c r="G83" s="613"/>
      <c r="H83" s="613"/>
      <c r="I83" s="613"/>
      <c r="J83" s="613"/>
      <c r="K83" s="614"/>
    </row>
    <row r="84" spans="1:21" ht="15" thickBot="1">
      <c r="A84" s="353" t="s">
        <v>38</v>
      </c>
      <c r="B84" s="407"/>
      <c r="C84" s="407"/>
      <c r="D84" s="407"/>
      <c r="E84" s="407"/>
      <c r="F84" s="407"/>
      <c r="G84" s="407"/>
      <c r="H84" s="407"/>
      <c r="I84" s="407"/>
      <c r="J84" s="407"/>
      <c r="K84" s="408"/>
    </row>
    <row r="85" spans="1:21">
      <c r="A85" s="343" t="s">
        <v>273</v>
      </c>
      <c r="B85" s="251">
        <f>'B+'!C8</f>
        <v>53.22</v>
      </c>
      <c r="C85" s="251">
        <f>'B+'!D8</f>
        <v>49.13</v>
      </c>
      <c r="D85" s="251">
        <f>'B+'!E8</f>
        <v>49.13</v>
      </c>
      <c r="E85" s="251">
        <f>'B+'!Q8</f>
        <v>54.55</v>
      </c>
      <c r="F85" s="251">
        <f>'B+'!Q8</f>
        <v>54.55</v>
      </c>
      <c r="G85" s="251">
        <f>'B+'!R8</f>
        <v>51.47</v>
      </c>
      <c r="H85" s="251">
        <f>'B+'!S8</f>
        <v>48.4</v>
      </c>
      <c r="I85" s="251">
        <f>'B+'!T8</f>
        <v>45.32</v>
      </c>
      <c r="J85" s="251">
        <f>'B+'!U8</f>
        <v>44.69</v>
      </c>
      <c r="K85" s="251">
        <f>'B+'!X10</f>
        <v>44.69</v>
      </c>
    </row>
    <row r="86" spans="1:21">
      <c r="A86" s="344" t="s">
        <v>275</v>
      </c>
      <c r="B86" s="345">
        <f>B85*26</f>
        <v>1383.72</v>
      </c>
      <c r="C86" s="345">
        <f t="shared" ref="C86:K86" si="22">C85*26</f>
        <v>1277.3800000000001</v>
      </c>
      <c r="D86" s="345">
        <f t="shared" si="22"/>
        <v>1277.3800000000001</v>
      </c>
      <c r="E86" s="345">
        <f t="shared" si="22"/>
        <v>1418.3</v>
      </c>
      <c r="F86" s="345">
        <f t="shared" si="22"/>
        <v>1418.3</v>
      </c>
      <c r="G86" s="345">
        <f t="shared" si="22"/>
        <v>1338.22</v>
      </c>
      <c r="H86" s="345">
        <f t="shared" si="22"/>
        <v>1258.3999999999999</v>
      </c>
      <c r="I86" s="345">
        <f t="shared" si="22"/>
        <v>1178.32</v>
      </c>
      <c r="J86" s="345">
        <f t="shared" si="22"/>
        <v>1161.94</v>
      </c>
      <c r="K86" s="345">
        <f t="shared" si="22"/>
        <v>1161.94</v>
      </c>
    </row>
    <row r="87" spans="1:21">
      <c r="A87" s="346" t="s">
        <v>274</v>
      </c>
      <c r="B87" s="347">
        <f>MAX('B+'!C:C)</f>
        <v>85.81</v>
      </c>
      <c r="C87" s="347">
        <f>MAX('B+'!D:D)</f>
        <v>79.209999999999994</v>
      </c>
      <c r="D87" s="347">
        <f>MAX('B+'!E:E)</f>
        <v>73.819999999999993</v>
      </c>
      <c r="E87" s="347">
        <f>MAX('B+'!Q:Q)</f>
        <v>63.24</v>
      </c>
      <c r="F87" s="347">
        <f>MAX('B+'!Q:Q)</f>
        <v>63.24</v>
      </c>
      <c r="G87" s="347">
        <f>MAX('B+'!R:R)</f>
        <v>58.43</v>
      </c>
      <c r="H87" s="347">
        <f>MAX('B+'!S:S)</f>
        <v>53.61</v>
      </c>
      <c r="I87" s="347">
        <f>MAX('B+'!T:T)</f>
        <v>48.8</v>
      </c>
      <c r="J87" s="347">
        <f>MAX('B+'!U:U)</f>
        <v>44.69</v>
      </c>
      <c r="K87" s="347">
        <f>MAX('B+'!X:X)</f>
        <v>44.69</v>
      </c>
    </row>
    <row r="88" spans="1:21" ht="15" thickBot="1">
      <c r="A88" s="348" t="s">
        <v>276</v>
      </c>
      <c r="B88" s="349">
        <f>B87*26</f>
        <v>2231.06</v>
      </c>
      <c r="C88" s="349">
        <f t="shared" ref="C88:K88" si="23">C87*26</f>
        <v>2059.46</v>
      </c>
      <c r="D88" s="349">
        <f t="shared" si="23"/>
        <v>1919.3199999999997</v>
      </c>
      <c r="E88" s="349">
        <f t="shared" si="23"/>
        <v>1644.24</v>
      </c>
      <c r="F88" s="349">
        <f t="shared" si="23"/>
        <v>1644.24</v>
      </c>
      <c r="G88" s="349">
        <f t="shared" si="23"/>
        <v>1519.18</v>
      </c>
      <c r="H88" s="349">
        <f t="shared" si="23"/>
        <v>1393.86</v>
      </c>
      <c r="I88" s="349">
        <f t="shared" si="23"/>
        <v>1268.8</v>
      </c>
      <c r="J88" s="349">
        <f t="shared" si="23"/>
        <v>1161.94</v>
      </c>
      <c r="K88" s="349">
        <f t="shared" si="23"/>
        <v>1161.94</v>
      </c>
    </row>
    <row r="89" spans="1:21">
      <c r="A89" s="351"/>
      <c r="B89" s="352"/>
      <c r="C89" s="352"/>
      <c r="D89" s="352"/>
      <c r="E89" s="352"/>
      <c r="F89" s="352"/>
      <c r="G89" s="352"/>
      <c r="H89" s="352"/>
      <c r="I89" s="352"/>
      <c r="J89" s="352"/>
      <c r="K89" s="352"/>
    </row>
    <row r="90" spans="1:21" ht="15.6">
      <c r="A90" s="406" t="s">
        <v>288</v>
      </c>
      <c r="C90" s="404"/>
      <c r="D90" s="404"/>
      <c r="E90" s="404"/>
      <c r="F90" s="404"/>
      <c r="G90" s="404"/>
      <c r="H90" s="404"/>
      <c r="I90" s="404"/>
      <c r="J90" s="404"/>
      <c r="K90" s="404"/>
      <c r="L90" s="404"/>
      <c r="M90" s="404"/>
      <c r="N90" s="404"/>
      <c r="O90" s="404"/>
      <c r="P90" s="404"/>
      <c r="Q90" s="404"/>
      <c r="R90" s="404"/>
      <c r="S90" s="45"/>
      <c r="T90" s="45"/>
      <c r="U90" s="45"/>
    </row>
    <row r="91" spans="1:21" ht="16.2" thickBot="1">
      <c r="A91" s="406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5"/>
      <c r="T91" s="45"/>
      <c r="U91" s="45"/>
    </row>
    <row r="92" spans="1:21" ht="16.2" thickBot="1">
      <c r="A92" s="406"/>
      <c r="B92" s="350">
        <v>11</v>
      </c>
      <c r="C92" s="350">
        <v>12</v>
      </c>
      <c r="D92" s="350">
        <v>13</v>
      </c>
      <c r="E92" s="350" t="s">
        <v>289</v>
      </c>
      <c r="F92" s="350" t="s">
        <v>271</v>
      </c>
      <c r="G92" s="350">
        <v>21</v>
      </c>
      <c r="H92" s="350">
        <v>22</v>
      </c>
      <c r="I92" s="350">
        <v>23</v>
      </c>
      <c r="J92" s="350">
        <v>24</v>
      </c>
      <c r="K92" s="350" t="s">
        <v>272</v>
      </c>
      <c r="L92" s="404"/>
      <c r="M92" s="404"/>
      <c r="N92" s="404"/>
      <c r="O92" s="404"/>
      <c r="P92" s="404"/>
      <c r="Q92" s="404"/>
      <c r="R92" s="404"/>
      <c r="S92" s="45"/>
      <c r="T92" s="45"/>
      <c r="U92" s="45"/>
    </row>
    <row r="93" spans="1:21" ht="15" thickBot="1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</row>
    <row r="94" spans="1:21" ht="15" thickBot="1">
      <c r="A94" s="609" t="s">
        <v>282</v>
      </c>
      <c r="B94" s="610"/>
      <c r="C94" s="610"/>
      <c r="D94" s="610"/>
      <c r="E94" s="610"/>
      <c r="F94" s="610"/>
      <c r="G94" s="610"/>
      <c r="H94" s="610"/>
      <c r="I94" s="610"/>
      <c r="J94" s="610"/>
      <c r="K94" s="611"/>
    </row>
    <row r="95" spans="1:21">
      <c r="A95" s="343" t="s">
        <v>273</v>
      </c>
      <c r="B95" s="251">
        <f>Ahalf_Ademi!C8</f>
        <v>34.119999999999997</v>
      </c>
      <c r="C95" s="251">
        <f>Ahalf_Ademi!D8</f>
        <v>34.119999999999997</v>
      </c>
      <c r="D95" s="251">
        <f>Ahalf_Ademi!E8</f>
        <v>34.119999999999997</v>
      </c>
      <c r="E95" s="251">
        <f>Ahalf_Ademi!O8</f>
        <v>34.57</v>
      </c>
      <c r="F95" s="251">
        <f>Ahalf_Ademi!O8</f>
        <v>34.57</v>
      </c>
      <c r="G95" s="251">
        <f>Ahalf_Ademi!P8</f>
        <v>34.57</v>
      </c>
      <c r="H95" s="251">
        <f>Ahalf_Ademi!Q8</f>
        <v>34.57</v>
      </c>
      <c r="I95" s="251">
        <f>Ahalf_Ademi!R8</f>
        <v>34.57</v>
      </c>
      <c r="J95" s="251">
        <f>Ahalf_Ademi!S8</f>
        <v>34.57</v>
      </c>
      <c r="K95" s="251">
        <f>Ahalf_Ademi!U9</f>
        <v>34.57</v>
      </c>
    </row>
    <row r="96" spans="1:21">
      <c r="A96" s="344" t="s">
        <v>275</v>
      </c>
      <c r="B96" s="345">
        <f>B95*26</f>
        <v>887.11999999999989</v>
      </c>
      <c r="C96" s="345">
        <f t="shared" ref="C96:K96" si="24">C95*26</f>
        <v>887.11999999999989</v>
      </c>
      <c r="D96" s="345">
        <f t="shared" si="24"/>
        <v>887.11999999999989</v>
      </c>
      <c r="E96" s="345">
        <f t="shared" si="24"/>
        <v>898.82</v>
      </c>
      <c r="F96" s="345">
        <f t="shared" si="24"/>
        <v>898.82</v>
      </c>
      <c r="G96" s="345">
        <f t="shared" si="24"/>
        <v>898.82</v>
      </c>
      <c r="H96" s="345">
        <f t="shared" si="24"/>
        <v>898.82</v>
      </c>
      <c r="I96" s="345">
        <f t="shared" si="24"/>
        <v>898.82</v>
      </c>
      <c r="J96" s="345">
        <f t="shared" si="24"/>
        <v>898.82</v>
      </c>
      <c r="K96" s="345">
        <f t="shared" si="24"/>
        <v>898.82</v>
      </c>
    </row>
    <row r="97" spans="1:11">
      <c r="A97" s="346" t="s">
        <v>274</v>
      </c>
      <c r="B97" s="347">
        <f>MAX(Ahalf_Ademi!C:C)</f>
        <v>42.91</v>
      </c>
      <c r="C97" s="347">
        <f>MAX(Ahalf_Ademi!D:D)</f>
        <v>39.61</v>
      </c>
      <c r="D97" s="347">
        <f>MAX(Ahalf_Ademi!E:E)</f>
        <v>36.909999999999997</v>
      </c>
      <c r="E97" s="347">
        <f>MAX(Ahalf_Ademi!O:O)</f>
        <v>37.58</v>
      </c>
      <c r="F97" s="347">
        <f>MAX(Ahalf_Ademi!O:O)</f>
        <v>37.58</v>
      </c>
      <c r="G97" s="347">
        <f>MAX(Ahalf_Ademi!P:P)</f>
        <v>36.590000000000003</v>
      </c>
      <c r="H97" s="347">
        <f>MAX(Ahalf_Ademi!Q:Q)</f>
        <v>36.590000000000003</v>
      </c>
      <c r="I97" s="347">
        <f>MAX(Ahalf_Ademi!R:R)</f>
        <v>36.590000000000003</v>
      </c>
      <c r="J97" s="347">
        <f>MAX(Ahalf_Ademi!S:S)</f>
        <v>36.590000000000003</v>
      </c>
      <c r="K97" s="347">
        <f>MAX(Ahalf_Ademi!U:U)</f>
        <v>36.590000000000003</v>
      </c>
    </row>
    <row r="98" spans="1:11" ht="15" thickBot="1">
      <c r="A98" s="348" t="s">
        <v>276</v>
      </c>
      <c r="B98" s="349">
        <f>B97*26</f>
        <v>1115.6599999999999</v>
      </c>
      <c r="C98" s="349">
        <f t="shared" ref="C98:K98" si="25">C97*26</f>
        <v>1029.8599999999999</v>
      </c>
      <c r="D98" s="349">
        <f t="shared" si="25"/>
        <v>959.65999999999985</v>
      </c>
      <c r="E98" s="349">
        <f t="shared" si="25"/>
        <v>977.07999999999993</v>
      </c>
      <c r="F98" s="349">
        <f t="shared" si="25"/>
        <v>977.07999999999993</v>
      </c>
      <c r="G98" s="349">
        <f t="shared" si="25"/>
        <v>951.34000000000015</v>
      </c>
      <c r="H98" s="349">
        <f t="shared" si="25"/>
        <v>951.34000000000015</v>
      </c>
      <c r="I98" s="349">
        <f t="shared" si="25"/>
        <v>951.34000000000015</v>
      </c>
      <c r="J98" s="349">
        <f t="shared" si="25"/>
        <v>951.34000000000015</v>
      </c>
      <c r="K98" s="349">
        <f t="shared" si="25"/>
        <v>951.34000000000015</v>
      </c>
    </row>
    <row r="99" spans="1:11" ht="3.75" customHeight="1" thickBot="1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</row>
    <row r="100" spans="1:11" ht="15" thickBot="1">
      <c r="A100" s="612" t="s">
        <v>283</v>
      </c>
      <c r="B100" s="613"/>
      <c r="C100" s="613"/>
      <c r="D100" s="613"/>
      <c r="E100" s="613"/>
      <c r="F100" s="613"/>
      <c r="G100" s="613"/>
      <c r="H100" s="613"/>
      <c r="I100" s="613"/>
      <c r="J100" s="613"/>
      <c r="K100" s="614"/>
    </row>
    <row r="101" spans="1:11">
      <c r="A101" s="343" t="s">
        <v>273</v>
      </c>
      <c r="B101" s="251">
        <f>Nhalf_Ndemi!C8</f>
        <v>27.65</v>
      </c>
      <c r="C101" s="251">
        <f>Nhalf_Ndemi!D8</f>
        <v>27.65</v>
      </c>
      <c r="D101" s="251">
        <f>Nhalf_Ndemi!E8</f>
        <v>27.65</v>
      </c>
      <c r="E101" s="251">
        <f>Nhalf_Ndemi!P8</f>
        <v>30.68</v>
      </c>
      <c r="F101" s="251">
        <f>Nhalf_Ndemi!P8</f>
        <v>30.68</v>
      </c>
      <c r="G101" s="251">
        <f>Nhalf_Ndemi!Q8</f>
        <v>30.12</v>
      </c>
      <c r="H101" s="251">
        <f>Nhalf_Ndemi!R8</f>
        <v>30.12</v>
      </c>
      <c r="I101" s="251">
        <f>Nhalf_Ndemi!S8</f>
        <v>30.12</v>
      </c>
      <c r="J101" s="251">
        <f>Nhalf_Ndemi!T8</f>
        <v>30.12</v>
      </c>
      <c r="K101" s="251">
        <f>Nhalf_Ndemi!V9</f>
        <v>30.12</v>
      </c>
    </row>
    <row r="102" spans="1:11">
      <c r="A102" s="344" t="s">
        <v>275</v>
      </c>
      <c r="B102" s="345">
        <f>B101*26</f>
        <v>718.9</v>
      </c>
      <c r="C102" s="345">
        <f t="shared" ref="C102:K102" si="26">C101*26</f>
        <v>718.9</v>
      </c>
      <c r="D102" s="345">
        <f t="shared" si="26"/>
        <v>718.9</v>
      </c>
      <c r="E102" s="345">
        <f t="shared" si="26"/>
        <v>797.68</v>
      </c>
      <c r="F102" s="345">
        <f t="shared" si="26"/>
        <v>797.68</v>
      </c>
      <c r="G102" s="345">
        <f t="shared" si="26"/>
        <v>783.12</v>
      </c>
      <c r="H102" s="345">
        <f t="shared" si="26"/>
        <v>783.12</v>
      </c>
      <c r="I102" s="345">
        <f t="shared" si="26"/>
        <v>783.12</v>
      </c>
      <c r="J102" s="345">
        <f t="shared" si="26"/>
        <v>783.12</v>
      </c>
      <c r="K102" s="345">
        <f t="shared" si="26"/>
        <v>783.12</v>
      </c>
    </row>
    <row r="103" spans="1:11">
      <c r="A103" s="346" t="s">
        <v>274</v>
      </c>
      <c r="B103" s="347">
        <f>MAX(Nhalf_Ndemi!C:C)</f>
        <v>42.91</v>
      </c>
      <c r="C103" s="347">
        <f>MAX(Nhalf_Ndemi!D:D)</f>
        <v>39.61</v>
      </c>
      <c r="D103" s="347">
        <f>MAX(Nhalf_Ndemi!E:E)</f>
        <v>36.909999999999997</v>
      </c>
      <c r="E103" s="347">
        <f>MAX(Nhalf_Ndemi!P:P)</f>
        <v>34.5</v>
      </c>
      <c r="F103" s="347">
        <f>MAX(Nhalf_Ndemi!P:P)</f>
        <v>34.5</v>
      </c>
      <c r="G103" s="347">
        <f>MAX(Nhalf_Ndemi!Q:Q)</f>
        <v>33.03</v>
      </c>
      <c r="H103" s="347">
        <f>MAX(Nhalf_Ndemi!R:R)</f>
        <v>31.56</v>
      </c>
      <c r="I103" s="347">
        <f>MAX(Nhalf_Ndemi!S:S)</f>
        <v>30.12</v>
      </c>
      <c r="J103" s="347">
        <f>MAX(Nhalf_Ndemi!T:T)</f>
        <v>30.12</v>
      </c>
      <c r="K103" s="347">
        <f>MAX(Nhalf_Ndemi!V:V)</f>
        <v>30.12</v>
      </c>
    </row>
    <row r="104" spans="1:11" ht="15" thickBot="1">
      <c r="A104" s="348" t="s">
        <v>276</v>
      </c>
      <c r="B104" s="349">
        <f>B103*26</f>
        <v>1115.6599999999999</v>
      </c>
      <c r="C104" s="349">
        <f t="shared" ref="C104:K104" si="27">C103*26</f>
        <v>1029.8599999999999</v>
      </c>
      <c r="D104" s="349">
        <f t="shared" si="27"/>
        <v>959.65999999999985</v>
      </c>
      <c r="E104" s="349">
        <f t="shared" si="27"/>
        <v>897</v>
      </c>
      <c r="F104" s="349">
        <f t="shared" si="27"/>
        <v>897</v>
      </c>
      <c r="G104" s="349">
        <f t="shared" si="27"/>
        <v>858.78</v>
      </c>
      <c r="H104" s="349">
        <f t="shared" si="27"/>
        <v>820.56</v>
      </c>
      <c r="I104" s="349">
        <f t="shared" si="27"/>
        <v>783.12</v>
      </c>
      <c r="J104" s="349">
        <f t="shared" si="27"/>
        <v>783.12</v>
      </c>
      <c r="K104" s="349">
        <f t="shared" si="27"/>
        <v>783.12</v>
      </c>
    </row>
    <row r="105" spans="1:11" ht="3.6" customHeight="1" thickBot="1">
      <c r="A105" s="421"/>
      <c r="B105" s="422"/>
      <c r="C105" s="422"/>
      <c r="D105" s="422"/>
      <c r="E105" s="422"/>
      <c r="F105" s="422"/>
      <c r="G105" s="422"/>
      <c r="H105" s="422"/>
      <c r="I105" s="422"/>
      <c r="J105" s="422"/>
      <c r="K105" s="423"/>
    </row>
    <row r="106" spans="1:11" ht="15" thickBot="1">
      <c r="A106" s="612" t="s">
        <v>284</v>
      </c>
      <c r="B106" s="613"/>
      <c r="C106" s="613"/>
      <c r="D106" s="613"/>
      <c r="E106" s="613"/>
      <c r="F106" s="613"/>
      <c r="G106" s="613"/>
      <c r="H106" s="613"/>
      <c r="I106" s="613"/>
      <c r="J106" s="613"/>
      <c r="K106" s="614"/>
    </row>
    <row r="107" spans="1:11" ht="15" thickBot="1">
      <c r="A107" s="353" t="s">
        <v>38</v>
      </c>
      <c r="B107" s="407"/>
      <c r="C107" s="407"/>
      <c r="D107" s="407"/>
      <c r="E107" s="407"/>
      <c r="F107" s="407"/>
      <c r="G107" s="407"/>
      <c r="H107" s="407"/>
      <c r="I107" s="407"/>
      <c r="J107" s="407"/>
      <c r="K107" s="408"/>
    </row>
    <row r="108" spans="1:11">
      <c r="A108" s="343" t="s">
        <v>273</v>
      </c>
      <c r="B108" s="251">
        <f>Bhalf_Bdemi!C8</f>
        <v>26.61</v>
      </c>
      <c r="C108" s="251">
        <f>Bhalf_Bdemi!D8</f>
        <v>24.57</v>
      </c>
      <c r="D108" s="251">
        <f>Bhalf_Bdemi!E8</f>
        <v>24.57</v>
      </c>
      <c r="E108" s="251">
        <f>Bhalf_Bdemi!P8</f>
        <v>27.28</v>
      </c>
      <c r="F108" s="251">
        <f>Bhalf_Bdemi!P8</f>
        <v>27.28</v>
      </c>
      <c r="G108" s="251">
        <f>Bhalf_Bdemi!Q8</f>
        <v>24.92</v>
      </c>
      <c r="H108" s="251">
        <f>Bhalf_Bdemi!R8</f>
        <v>22.57</v>
      </c>
      <c r="I108" s="251">
        <f>Bhalf_Bdemi!S8</f>
        <v>20.21</v>
      </c>
      <c r="J108" s="251">
        <f>Bhalf_Bdemi!T8</f>
        <v>17.86</v>
      </c>
      <c r="K108" s="251">
        <f>Bhalf_Bdemi!V9</f>
        <v>16.82</v>
      </c>
    </row>
    <row r="109" spans="1:11">
      <c r="A109" s="344" t="s">
        <v>275</v>
      </c>
      <c r="B109" s="345">
        <f>B108*26</f>
        <v>691.86</v>
      </c>
      <c r="C109" s="345">
        <f t="shared" ref="C109:K109" si="28">C108*26</f>
        <v>638.82000000000005</v>
      </c>
      <c r="D109" s="345">
        <f t="shared" si="28"/>
        <v>638.82000000000005</v>
      </c>
      <c r="E109" s="345">
        <f t="shared" si="28"/>
        <v>709.28</v>
      </c>
      <c r="F109" s="345">
        <f t="shared" si="28"/>
        <v>709.28</v>
      </c>
      <c r="G109" s="345">
        <f t="shared" si="28"/>
        <v>647.92000000000007</v>
      </c>
      <c r="H109" s="345">
        <f t="shared" si="28"/>
        <v>586.82000000000005</v>
      </c>
      <c r="I109" s="345">
        <f t="shared" si="28"/>
        <v>525.46</v>
      </c>
      <c r="J109" s="345">
        <f t="shared" si="28"/>
        <v>464.36</v>
      </c>
      <c r="K109" s="345">
        <f t="shared" si="28"/>
        <v>437.32</v>
      </c>
    </row>
    <row r="110" spans="1:11">
      <c r="A110" s="346" t="s">
        <v>274</v>
      </c>
      <c r="B110" s="347">
        <f>MAX(Bhalf_Bdemi!C:C)</f>
        <v>42.91</v>
      </c>
      <c r="C110" s="347">
        <f>MAX(Bhalf_Bdemi!D:D)</f>
        <v>39.61</v>
      </c>
      <c r="D110" s="347">
        <f>MAX(Bhalf_Bdemi!E:E)</f>
        <v>36.909999999999997</v>
      </c>
      <c r="E110" s="347">
        <f>MAX(Bhalf_Bdemi!P:P)</f>
        <v>31.62</v>
      </c>
      <c r="F110" s="347">
        <f>MAX(Bhalf_Bdemi!P:P)</f>
        <v>31.62</v>
      </c>
      <c r="G110" s="347">
        <f>MAX(Bhalf_Bdemi!Q:Q)</f>
        <v>28.4</v>
      </c>
      <c r="H110" s="347">
        <f>MAX(Bhalf_Bdemi!R:R)</f>
        <v>25.17</v>
      </c>
      <c r="I110" s="347">
        <f>MAX(Bhalf_Bdemi!S:S)</f>
        <v>21.95</v>
      </c>
      <c r="J110" s="347">
        <f>MAX(Bhalf_Bdemi!T:T)</f>
        <v>18.73</v>
      </c>
      <c r="K110" s="347">
        <f>MAX(Bhalf_Bdemi!V:V)</f>
        <v>16.82</v>
      </c>
    </row>
    <row r="111" spans="1:11" ht="15" thickBot="1">
      <c r="A111" s="348" t="s">
        <v>276</v>
      </c>
      <c r="B111" s="349">
        <f>B110*26</f>
        <v>1115.6599999999999</v>
      </c>
      <c r="C111" s="349">
        <f t="shared" ref="C111:K111" si="29">C110*26</f>
        <v>1029.8599999999999</v>
      </c>
      <c r="D111" s="349">
        <f t="shared" si="29"/>
        <v>959.65999999999985</v>
      </c>
      <c r="E111" s="349">
        <f t="shared" si="29"/>
        <v>822.12</v>
      </c>
      <c r="F111" s="349">
        <f t="shared" si="29"/>
        <v>822.12</v>
      </c>
      <c r="G111" s="349">
        <f t="shared" si="29"/>
        <v>738.4</v>
      </c>
      <c r="H111" s="349">
        <f t="shared" si="29"/>
        <v>654.42000000000007</v>
      </c>
      <c r="I111" s="349">
        <f t="shared" si="29"/>
        <v>570.69999999999993</v>
      </c>
      <c r="J111" s="349">
        <f t="shared" si="29"/>
        <v>486.98</v>
      </c>
      <c r="K111" s="349">
        <f t="shared" si="29"/>
        <v>437.32</v>
      </c>
    </row>
    <row r="112" spans="1:11" ht="3.75" customHeight="1" thickBot="1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</row>
    <row r="113" spans="1:11" ht="15" thickBot="1">
      <c r="A113" s="612" t="s">
        <v>286</v>
      </c>
      <c r="B113" s="613"/>
      <c r="C113" s="613"/>
      <c r="D113" s="613"/>
      <c r="E113" s="613"/>
      <c r="F113" s="613"/>
      <c r="G113" s="613"/>
      <c r="H113" s="613"/>
      <c r="I113" s="613"/>
      <c r="J113" s="613"/>
      <c r="K113" s="614"/>
    </row>
    <row r="114" spans="1:11" ht="15" thickBot="1">
      <c r="A114" s="353" t="s">
        <v>38</v>
      </c>
      <c r="B114" s="407"/>
      <c r="C114" s="407"/>
      <c r="D114" s="407"/>
      <c r="E114" s="407"/>
      <c r="F114" s="407"/>
      <c r="G114" s="407"/>
      <c r="H114" s="407"/>
      <c r="I114" s="407"/>
      <c r="J114" s="407"/>
      <c r="K114" s="408"/>
    </row>
    <row r="115" spans="1:11">
      <c r="A115" s="343" t="s">
        <v>273</v>
      </c>
      <c r="B115" s="251">
        <f>'B+half_B+demi'!C8</f>
        <v>26.61</v>
      </c>
      <c r="C115" s="251">
        <f>'B+half_B+demi'!D8</f>
        <v>24.57</v>
      </c>
      <c r="D115" s="251">
        <f>'B+half_B+demi'!E8</f>
        <v>24.57</v>
      </c>
      <c r="E115" s="251">
        <f>'B+half_B+demi'!P8</f>
        <v>27.28</v>
      </c>
      <c r="F115" s="251">
        <f>'B+half_B+demi'!P8</f>
        <v>27.28</v>
      </c>
      <c r="G115" s="251">
        <f>'B+half_B+demi'!Q8</f>
        <v>25.74</v>
      </c>
      <c r="H115" s="251">
        <f>'B+half_B+demi'!R8</f>
        <v>24.2</v>
      </c>
      <c r="I115" s="251">
        <f>'B+half_B+demi'!S8</f>
        <v>22.66</v>
      </c>
      <c r="J115" s="251">
        <f>'B+half_B+demi'!T8</f>
        <v>22.35</v>
      </c>
      <c r="K115" s="251">
        <f>'B+half_B+demi'!V10</f>
        <v>22.35</v>
      </c>
    </row>
    <row r="116" spans="1:11">
      <c r="A116" s="344" t="s">
        <v>275</v>
      </c>
      <c r="B116" s="345">
        <f>B115*26</f>
        <v>691.86</v>
      </c>
      <c r="C116" s="345">
        <f t="shared" ref="C116:K116" si="30">C115*26</f>
        <v>638.82000000000005</v>
      </c>
      <c r="D116" s="345">
        <f t="shared" si="30"/>
        <v>638.82000000000005</v>
      </c>
      <c r="E116" s="345">
        <f t="shared" si="30"/>
        <v>709.28</v>
      </c>
      <c r="F116" s="345">
        <f t="shared" si="30"/>
        <v>709.28</v>
      </c>
      <c r="G116" s="345">
        <f t="shared" si="30"/>
        <v>669.24</v>
      </c>
      <c r="H116" s="345">
        <f t="shared" si="30"/>
        <v>629.19999999999993</v>
      </c>
      <c r="I116" s="345">
        <f t="shared" si="30"/>
        <v>589.16</v>
      </c>
      <c r="J116" s="345">
        <f t="shared" si="30"/>
        <v>581.1</v>
      </c>
      <c r="K116" s="345">
        <f t="shared" si="30"/>
        <v>581.1</v>
      </c>
    </row>
    <row r="117" spans="1:11">
      <c r="A117" s="346" t="s">
        <v>274</v>
      </c>
      <c r="B117" s="347">
        <f>MAX('B+half_B+demi'!C:C)</f>
        <v>42.91</v>
      </c>
      <c r="C117" s="347">
        <f>MAX('B+half_B+demi'!D:D)</f>
        <v>39.61</v>
      </c>
      <c r="D117" s="347">
        <f>MAX('B+half_B+demi'!E:E)</f>
        <v>36.909999999999997</v>
      </c>
      <c r="E117" s="347">
        <f>MAX('B+half_B+demi'!P:P)</f>
        <v>31.62</v>
      </c>
      <c r="F117" s="347">
        <f>MAX('B+half_B+demi'!P:P)</f>
        <v>31.62</v>
      </c>
      <c r="G117" s="347">
        <f>MAX('B+half_B+demi'!Q:Q)</f>
        <v>29.22</v>
      </c>
      <c r="H117" s="347">
        <f>MAX('B+half_B+demi'!R:R)</f>
        <v>26.81</v>
      </c>
      <c r="I117" s="347">
        <f>MAX('B+half_B+demi'!S:S)</f>
        <v>24.4</v>
      </c>
      <c r="J117" s="347">
        <f>MAX('B+half_B+demi'!T:T)</f>
        <v>22.35</v>
      </c>
      <c r="K117" s="347">
        <f>MAX('B+half_B+demi'!V:V)</f>
        <v>22.35</v>
      </c>
    </row>
    <row r="118" spans="1:11" ht="15" thickBot="1">
      <c r="A118" s="348" t="s">
        <v>276</v>
      </c>
      <c r="B118" s="349">
        <f>B117*26</f>
        <v>1115.6599999999999</v>
      </c>
      <c r="C118" s="349">
        <f t="shared" ref="C118:K118" si="31">C117*26</f>
        <v>1029.8599999999999</v>
      </c>
      <c r="D118" s="349">
        <f t="shared" si="31"/>
        <v>959.65999999999985</v>
      </c>
      <c r="E118" s="349">
        <f t="shared" si="31"/>
        <v>822.12</v>
      </c>
      <c r="F118" s="349">
        <f t="shared" si="31"/>
        <v>822.12</v>
      </c>
      <c r="G118" s="349">
        <f t="shared" si="31"/>
        <v>759.72</v>
      </c>
      <c r="H118" s="349">
        <f t="shared" si="31"/>
        <v>697.06</v>
      </c>
      <c r="I118" s="349">
        <f t="shared" si="31"/>
        <v>634.4</v>
      </c>
      <c r="J118" s="349">
        <f t="shared" si="31"/>
        <v>581.1</v>
      </c>
      <c r="K118" s="349">
        <f t="shared" si="31"/>
        <v>581.1</v>
      </c>
    </row>
  </sheetData>
  <sheetProtection algorithmName="SHA-512" hashValue="PQz/pw5wPC9gf0TlfNQN3rWAKYRCv6A13R0zOrxeMP7SqZ2S3tJV+kpD+y/PNASrCjuXKG1rwinh0fG03U+umg==" saltValue="wlfNoVJiGrkQBbpmUvJf/w==" spinCount="100000" sheet="1" objects="1" scenarios="1"/>
  <mergeCells count="17">
    <mergeCell ref="A100:K100"/>
    <mergeCell ref="A106:K106"/>
    <mergeCell ref="A113:K113"/>
    <mergeCell ref="A64:K64"/>
    <mergeCell ref="A70:K70"/>
    <mergeCell ref="A76:K76"/>
    <mergeCell ref="A83:K83"/>
    <mergeCell ref="A94:K94"/>
    <mergeCell ref="A36:K36"/>
    <mergeCell ref="A42:K42"/>
    <mergeCell ref="A48:K48"/>
    <mergeCell ref="A54:K54"/>
    <mergeCell ref="I1:J1"/>
    <mergeCell ref="A8:K8"/>
    <mergeCell ref="A14:K14"/>
    <mergeCell ref="A20:K20"/>
    <mergeCell ref="A26:K2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&amp;LRijksdienst voor Arbeidsvoorziening&amp;ROffice national de l'Emploi</oddFooter>
  </headerFooter>
  <rowBreaks count="3" manualBreakCount="3">
    <brk id="31" max="16383" man="1"/>
    <brk id="59" max="16383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24</vt:i4>
      </vt:variant>
    </vt:vector>
  </HeadingPairs>
  <TitlesOfParts>
    <vt:vector size="43" baseType="lpstr">
      <vt:lpstr>A</vt:lpstr>
      <vt:lpstr>N</vt:lpstr>
      <vt:lpstr>B</vt:lpstr>
      <vt:lpstr>B+</vt:lpstr>
      <vt:lpstr>Ahalf_Ademi</vt:lpstr>
      <vt:lpstr>Nhalf_Ndemi</vt:lpstr>
      <vt:lpstr>Bhalf_Bdemi</vt:lpstr>
      <vt:lpstr>B+half_B+demi</vt:lpstr>
      <vt:lpstr>OverzichtVW_ApercuCC</vt:lpstr>
      <vt:lpstr>TW-CT_JS</vt:lpstr>
      <vt:lpstr>SpecCat</vt:lpstr>
      <vt:lpstr>Loonschijven_Tranches salariale</vt:lpstr>
      <vt:lpstr>Uurlonen_Salaires horaires</vt:lpstr>
      <vt:lpstr>W </vt:lpstr>
      <vt:lpstr>AndereBedrWLH_AutresMontCHOM</vt:lpstr>
      <vt:lpstr>Activering_Activation</vt:lpstr>
      <vt:lpstr>AndereUitk_AutresAlloc</vt:lpstr>
      <vt:lpstr>Bonus</vt:lpstr>
      <vt:lpstr>Basisbedragen</vt:lpstr>
      <vt:lpstr>AndereBedrWLH_AutresMontCHOM!Afdrukbereik</vt:lpstr>
      <vt:lpstr>AndereUitk_AutresAlloc!Afdrukbereik</vt:lpstr>
      <vt:lpstr>B!Afdrukbereik</vt:lpstr>
      <vt:lpstr>'B+'!Afdrukbereik</vt:lpstr>
      <vt:lpstr>'B+half_B+demi'!Afdrukbereik</vt:lpstr>
      <vt:lpstr>Bhalf_Bdemi!Afdrukbereik</vt:lpstr>
      <vt:lpstr>'Loonschijven_Tranches salariale'!Afdrukbereik</vt:lpstr>
      <vt:lpstr>Nhalf_Ndemi!Afdrukbereik</vt:lpstr>
      <vt:lpstr>'TW-CT_JS'!Afdrukbereik</vt:lpstr>
      <vt:lpstr>'W '!Afdrukbereik</vt:lpstr>
      <vt:lpstr>A!Afdruktitels</vt:lpstr>
      <vt:lpstr>Ahalf_Ademi!Afdruktitels</vt:lpstr>
      <vt:lpstr>AndereBedrWLH_AutresMontCHOM!Afdruktitels</vt:lpstr>
      <vt:lpstr>AndereUitk_AutresAlloc!Afdruktitels</vt:lpstr>
      <vt:lpstr>B!Afdruktitels</vt:lpstr>
      <vt:lpstr>'B+'!Afdruktitels</vt:lpstr>
      <vt:lpstr>'B+half_B+demi'!Afdruktitels</vt:lpstr>
      <vt:lpstr>Bhalf_Bdemi!Afdruktitels</vt:lpstr>
      <vt:lpstr>N!Afdruktitels</vt:lpstr>
      <vt:lpstr>Nhalf_Ndemi!Afdruktitels</vt:lpstr>
      <vt:lpstr>OverzichtVW_ApercuCC!Afdruktitels</vt:lpstr>
      <vt:lpstr>SpecCat!Afdruktitels</vt:lpstr>
      <vt:lpstr>'TW-CT_JS'!Afdruktitels</vt:lpstr>
      <vt:lpstr>'Uurlonen_Salaires horaires'!Afdruktitels</vt:lpstr>
    </vt:vector>
  </TitlesOfParts>
  <Company>ONEM-RVA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fbossier</dc:creator>
  <cp:lastModifiedBy>Hubert Arys (RVA-ONEM)</cp:lastModifiedBy>
  <cp:lastPrinted>2024-03-19T10:21:16Z</cp:lastPrinted>
  <dcterms:created xsi:type="dcterms:W3CDTF">2012-04-10T08:09:38Z</dcterms:created>
  <dcterms:modified xsi:type="dcterms:W3CDTF">2025-01-31T07:36:58Z</dcterms:modified>
</cp:coreProperties>
</file>